
<file path=[Content_Types].xml><?xml version="1.0" encoding="utf-8"?>
<Types xmlns="http://schemas.openxmlformats.org/package/2006/content-types">
  <Default Extension="rels" ContentType="application/vnd.openxmlformats-package.relationships+xml"/>
  <Default Extension="tiff" ContentType="image/tiff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https://australiancricket-my.sharepoint.com/personal/matthew_phelps_cricketact_com_au/Documents/Desktop/"/>
    </mc:Choice>
  </mc:AlternateContent>
  <xr:revisionPtr revIDLastSave="0" documentId="8_{A88771D5-F4A8-49CC-8602-E51FE397D942}" xr6:coauthVersionLast="41" xr6:coauthVersionMax="41" xr10:uidLastSave="{00000000-0000-0000-0000-000000000000}"/>
  <bookViews>
    <workbookView xWindow="6045" yWindow="-16320" windowWidth="29040" windowHeight="15840" tabRatio="500" xr2:uid="{00000000-000D-0000-FFFF-FFFF00000000}"/>
  </bookViews>
  <sheets>
    <sheet name="Model Community" sheetId="3" r:id="rId1"/>
  </sheets>
  <definedNames>
    <definedName name="_xlnm.Print_Area" localSheetId="0">'Model Community'!$D$10:$G$22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9" i="3" l="1"/>
  <c r="E41" i="3"/>
  <c r="AO32" i="3"/>
  <c r="AR33" i="3"/>
  <c r="B33" i="3"/>
  <c r="AA33" i="3"/>
  <c r="AI33" i="3"/>
  <c r="AR34" i="3"/>
  <c r="B34" i="3"/>
  <c r="X34" i="3"/>
  <c r="AI34" i="3"/>
  <c r="AR32" i="3"/>
  <c r="B32" i="3"/>
  <c r="X32" i="3"/>
  <c r="AI32" i="3"/>
  <c r="N32" i="3"/>
  <c r="AE32" i="3"/>
  <c r="V32" i="3"/>
  <c r="W32" i="3"/>
  <c r="P32" i="3"/>
  <c r="C32" i="3"/>
  <c r="D32" i="3"/>
  <c r="I41" i="3"/>
  <c r="E33" i="3"/>
  <c r="K33" i="3"/>
  <c r="D33" i="3"/>
  <c r="D34" i="3"/>
  <c r="P34" i="3"/>
  <c r="AN34" i="3"/>
  <c r="AO34" i="3"/>
  <c r="N34" i="3"/>
  <c r="AE34" i="3"/>
  <c r="V34" i="3"/>
  <c r="W34" i="3"/>
  <c r="P33" i="3"/>
  <c r="AN33" i="3"/>
  <c r="AO33" i="3"/>
  <c r="N33" i="3"/>
  <c r="AE33" i="3"/>
  <c r="AG33" i="3"/>
  <c r="V33" i="3"/>
  <c r="W33" i="3"/>
  <c r="AN32" i="3"/>
  <c r="AB33" i="3"/>
  <c r="AB34" i="3"/>
  <c r="AB32" i="3"/>
  <c r="AA32" i="3"/>
  <c r="Y32" i="3"/>
  <c r="X33" i="3"/>
  <c r="AA34" i="3"/>
  <c r="Y34" i="3"/>
  <c r="AH33" i="3"/>
  <c r="C33" i="3"/>
  <c r="I33" i="3"/>
  <c r="AK33" i="3"/>
  <c r="Y33" i="3"/>
  <c r="AG34" i="3"/>
  <c r="AH34" i="3"/>
  <c r="AF34" i="3"/>
  <c r="AG32" i="3"/>
  <c r="AH32" i="3"/>
  <c r="AF32" i="3"/>
  <c r="AD33" i="3"/>
  <c r="AJ33" i="3"/>
  <c r="AS33" i="3"/>
  <c r="AF33" i="3"/>
  <c r="C34" i="3"/>
  <c r="E34" i="3"/>
  <c r="K34" i="3"/>
  <c r="E32" i="3"/>
  <c r="K32" i="3"/>
  <c r="Z32" i="3"/>
  <c r="AC32" i="3"/>
  <c r="AC33" i="3"/>
  <c r="AY33" i="3"/>
  <c r="AW33" i="3"/>
  <c r="AC34" i="3"/>
  <c r="BG33" i="3"/>
  <c r="BF33" i="3"/>
  <c r="Z34" i="3"/>
  <c r="AL33" i="3"/>
  <c r="Z33" i="3"/>
  <c r="I34" i="3"/>
  <c r="AK34" i="3"/>
  <c r="I32" i="3"/>
  <c r="AK32" i="3"/>
  <c r="BG32" i="3"/>
  <c r="BF32" i="3"/>
  <c r="AD32" i="3"/>
  <c r="AJ32" i="3"/>
  <c r="AS32" i="3"/>
  <c r="AM33" i="3"/>
  <c r="AJ34" i="3"/>
  <c r="AS34" i="3"/>
  <c r="AD34" i="3"/>
  <c r="BG34" i="3"/>
  <c r="BF34" i="3"/>
  <c r="AY34" i="3"/>
  <c r="AW34" i="3"/>
  <c r="AY32" i="3"/>
  <c r="AW32" i="3"/>
  <c r="AM34" i="3"/>
  <c r="AQ33" i="3"/>
  <c r="AP33" i="3"/>
  <c r="AL34" i="3"/>
  <c r="AM32" i="3"/>
  <c r="AL32" i="3"/>
  <c r="AX33" i="3"/>
  <c r="AZ33" i="3"/>
  <c r="AQ34" i="3"/>
  <c r="AP34" i="3"/>
  <c r="AQ32" i="3"/>
  <c r="AX34" i="3"/>
  <c r="AV34" i="3"/>
  <c r="AV33" i="3"/>
  <c r="AP32" i="3"/>
  <c r="AX32" i="3"/>
  <c r="BA33" i="3"/>
  <c r="BB33" i="3"/>
  <c r="BC33" i="3"/>
  <c r="BD33" i="3"/>
  <c r="BE33" i="3"/>
  <c r="AZ34" i="3"/>
  <c r="BB34" i="3"/>
  <c r="BC34" i="3"/>
  <c r="BD34" i="3"/>
  <c r="BE34" i="3"/>
  <c r="AV32" i="3"/>
  <c r="AZ32" i="3"/>
  <c r="BA34" i="3"/>
  <c r="BA32" i="3"/>
  <c r="F41" i="3"/>
  <c r="BB32" i="3"/>
  <c r="BC32" i="3"/>
  <c r="BD32" i="3"/>
  <c r="G41" i="3"/>
  <c r="E16" i="3"/>
  <c r="BE3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Matthew</author>
  </authors>
  <commentList>
    <comment ref="B3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Ambient Temperature</t>
        </r>
      </text>
    </comment>
    <comment ref="D3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Relative Humidity</t>
        </r>
      </text>
    </comment>
    <comment ref="F31" authorId="0" shapeId="0" xr:uid="{00000000-0006-0000-0000-000003000000}">
      <text>
        <r>
          <rPr>
            <b/>
            <sz val="9"/>
            <color rgb="FF000000"/>
            <rFont val="Tahoma"/>
            <family val="2"/>
          </rPr>
          <t>Body Mass</t>
        </r>
      </text>
    </comment>
    <comment ref="G31" authorId="0" shapeId="0" xr:uid="{00000000-0006-0000-0000-000004000000}">
      <text>
        <r>
          <rPr>
            <b/>
            <sz val="9"/>
            <color rgb="FF000000"/>
            <rFont val="Tahoma"/>
            <family val="2"/>
          </rPr>
          <t>Height</t>
        </r>
      </text>
    </comment>
    <comment ref="I31" authorId="0" shapeId="0" xr:uid="{00000000-0006-0000-0000-000005000000}">
      <text>
        <r>
          <rPr>
            <b/>
            <sz val="9"/>
            <color rgb="FF000000"/>
            <rFont val="Tahoma"/>
            <family val="2"/>
          </rPr>
          <t xml:space="preserve">Mean Radiant Temperature
</t>
        </r>
        <r>
          <rPr>
            <sz val="9"/>
            <color rgb="FF000000"/>
            <rFont val="Tahoma"/>
            <family val="2"/>
          </rPr>
          <t>For lab conditions, Tr=Ta.</t>
        </r>
      </text>
    </comment>
    <comment ref="J3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Barometric Pressure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31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Air Velocity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31" authorId="0" shapeId="0" xr:uid="{00000000-0006-0000-0000-000008000000}">
      <text>
        <r>
          <rPr>
            <b/>
            <sz val="9"/>
            <color rgb="FF000000"/>
            <rFont val="Tahoma"/>
            <family val="2"/>
          </rPr>
          <t>Rate of Oxygen Uptake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N31" authorId="0" shapeId="0" xr:uid="{00000000-0006-0000-0000-000009000000}">
      <text>
        <r>
          <rPr>
            <b/>
            <sz val="9"/>
            <color rgb="FF000000"/>
            <rFont val="Tahoma"/>
            <family val="2"/>
          </rPr>
          <t>Rate of Oxygen Uptake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O31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Respiratory Exchange Ratio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31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Mean Clothing Surface Temperature</t>
        </r>
      </text>
    </comment>
    <comment ref="Q31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Mean Skin Surface Temperature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31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Emissivity</t>
        </r>
        <r>
          <rPr>
            <sz val="9"/>
            <color indexed="81"/>
            <rFont val="Tahoma"/>
            <family val="2"/>
          </rPr>
          <t xml:space="preserve">
Skin 0.95 </t>
        </r>
      </text>
    </comment>
    <comment ref="S31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 xml:space="preserve">Effective Area for Radiant Heat Exchange </t>
        </r>
        <r>
          <rPr>
            <sz val="9"/>
            <color indexed="81"/>
            <rFont val="Tahoma"/>
            <family val="2"/>
          </rPr>
          <t xml:space="preserve">
Parsons (2003) suggests 0.70 for sitting; 0.73 for standing. For heavy, medium, and light body sizes, Kerslake (1972) suggests 0.75, 0.78, 0.79 for standing and 0.72, 0.70, and 0.69 for sitting.</t>
        </r>
      </text>
    </comment>
    <comment ref="T31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Clothing Insulation</t>
        </r>
      </text>
    </comment>
    <comment ref="U31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Resistance to Evaporative Heat Loss Due to Clothing</t>
        </r>
      </text>
    </comment>
    <comment ref="V31" authorId="0" shapeId="0" xr:uid="{00000000-0006-0000-0000-000011000000}">
      <text>
        <r>
          <rPr>
            <b/>
            <sz val="9"/>
            <color indexed="81"/>
            <rFont val="Tahoma"/>
            <family val="2"/>
          </rPr>
          <t>Body Surface Area</t>
        </r>
      </text>
    </comment>
    <comment ref="X31" authorId="0" shapeId="0" xr:uid="{00000000-0006-0000-0000-000012000000}">
      <text>
        <r>
          <rPr>
            <b/>
            <sz val="9"/>
            <color indexed="81"/>
            <rFont val="Tahoma"/>
            <family val="2"/>
          </rPr>
          <t>Ambient Temperature</t>
        </r>
      </text>
    </comment>
    <comment ref="Y31" authorId="0" shapeId="0" xr:uid="{00000000-0006-0000-0000-000013000000}">
      <text>
        <r>
          <rPr>
            <b/>
            <sz val="9"/>
            <color indexed="81"/>
            <rFont val="Tahoma"/>
            <family val="2"/>
          </rPr>
          <t>Ambient Vapour Pressure</t>
        </r>
      </text>
    </comment>
    <comment ref="Z31" authorId="0" shapeId="0" xr:uid="{00000000-0006-0000-0000-000014000000}">
      <text>
        <r>
          <rPr>
            <b/>
            <sz val="9"/>
            <color indexed="81"/>
            <rFont val="Tahoma"/>
            <family val="2"/>
          </rPr>
          <t>Ambient Vapour Pressure</t>
        </r>
      </text>
    </comment>
    <comment ref="AA31" authorId="0" shapeId="0" xr:uid="{00000000-0006-0000-0000-000015000000}">
      <text>
        <r>
          <rPr>
            <b/>
            <sz val="9"/>
            <color indexed="81"/>
            <rFont val="Tahoma"/>
            <family val="2"/>
          </rPr>
          <t>Vapour Pressure of Saturated Ambient Air</t>
        </r>
      </text>
    </comment>
    <comment ref="AB31" authorId="0" shapeId="0" xr:uid="{00000000-0006-0000-0000-000016000000}">
      <text>
        <r>
          <rPr>
            <b/>
            <sz val="9"/>
            <color indexed="81"/>
            <rFont val="Tahoma"/>
            <family val="2"/>
          </rPr>
          <t>Barometric Pressure</t>
        </r>
      </text>
    </comment>
    <comment ref="AC31" authorId="0" shapeId="0" xr:uid="{00000000-0006-0000-0000-000017000000}">
      <text>
        <r>
          <rPr>
            <b/>
            <sz val="9"/>
            <color indexed="81"/>
            <rFont val="Tahoma"/>
            <family val="2"/>
          </rPr>
          <t>Absolute Ambient Humidity</t>
        </r>
      </text>
    </comment>
    <comment ref="AD31" authorId="0" shapeId="0" xr:uid="{00000000-0006-0000-0000-000018000000}">
      <text>
        <r>
          <rPr>
            <b/>
            <sz val="9"/>
            <color indexed="81"/>
            <rFont val="Tahoma"/>
            <family val="2"/>
          </rPr>
          <t>Air Velocity</t>
        </r>
      </text>
    </comment>
    <comment ref="AE31" authorId="0" shapeId="0" xr:uid="{00000000-0006-0000-0000-000019000000}">
      <text>
        <r>
          <rPr>
            <b/>
            <sz val="9"/>
            <color indexed="81"/>
            <rFont val="Tahoma"/>
            <family val="2"/>
          </rPr>
          <t xml:space="preserve">Rate of Metabolic Energy Expenditure
</t>
        </r>
        <r>
          <rPr>
            <sz val="9"/>
            <color indexed="81"/>
            <rFont val="Tahoma"/>
            <family val="2"/>
          </rPr>
          <t>where 5.88 is the energy equivalent of oxygen in W·h/L (ISO 8996).</t>
        </r>
      </text>
    </comment>
    <comment ref="AG31" authorId="0" shapeId="0" xr:uid="{00000000-0006-0000-0000-00001A000000}">
      <text>
        <r>
          <rPr>
            <b/>
            <sz val="9"/>
            <color indexed="81"/>
            <rFont val="Tahoma"/>
            <family val="2"/>
          </rPr>
          <t>Rate of Metabolic Heat Production</t>
        </r>
      </text>
    </comment>
    <comment ref="AI31" authorId="0" shapeId="0" xr:uid="{00000000-0006-0000-0000-00001B000000}">
      <text>
        <r>
          <rPr>
            <b/>
            <sz val="9"/>
            <color indexed="81"/>
            <rFont val="Tahoma"/>
            <family val="2"/>
          </rPr>
          <t xml:space="preserve">Clothing area factor. 
</t>
        </r>
        <r>
          <rPr>
            <sz val="9"/>
            <color indexed="81"/>
            <rFont val="Tahoma"/>
            <family val="2"/>
          </rPr>
          <t>Ratio of clothed body surface to nude body surface.</t>
        </r>
      </text>
    </comment>
    <comment ref="AJ31" authorId="0" shapeId="0" xr:uid="{00000000-0006-0000-0000-00001C000000}">
      <text>
        <r>
          <rPr>
            <b/>
            <sz val="9"/>
            <color indexed="81"/>
            <rFont val="Tahoma"/>
            <family val="2"/>
          </rPr>
          <t xml:space="preserve">Convective Heat Transfer Coefficient
</t>
        </r>
        <r>
          <rPr>
            <sz val="9"/>
            <color indexed="81"/>
            <rFont val="Tahoma"/>
            <family val="2"/>
          </rPr>
          <t>=8.3</t>
        </r>
        <r>
          <rPr>
            <sz val="9"/>
            <color indexed="81"/>
            <rFont val="Calibri"/>
            <family val="2"/>
          </rPr>
          <t>·</t>
        </r>
        <r>
          <rPr>
            <sz val="9"/>
            <color indexed="81"/>
            <rFont val="Tahoma"/>
            <family val="2"/>
          </rPr>
          <t xml:space="preserve">v^0.5 for a seated subject facing an air velocity of 0.2-4.0 m/s (Mitchell, 1974).
=6.5·v^0.39 for treadmill (Nishi &amp; Gagge, 1970).
</t>
        </r>
      </text>
    </comment>
    <comment ref="AK31" authorId="0" shapeId="0" xr:uid="{00000000-0006-0000-0000-00001D000000}">
      <text>
        <r>
          <rPr>
            <b/>
            <sz val="9"/>
            <color indexed="81"/>
            <rFont val="Tahoma"/>
            <family val="2"/>
          </rPr>
          <t>Radiant Heat Transfer Coefficient</t>
        </r>
      </text>
    </comment>
    <comment ref="AL31" authorId="0" shapeId="0" xr:uid="{00000000-0006-0000-0000-00001E000000}">
      <text>
        <r>
          <rPr>
            <b/>
            <sz val="9"/>
            <color indexed="81"/>
            <rFont val="Tahoma"/>
            <family val="2"/>
          </rPr>
          <t>Combined Heat Transfer Coefficient</t>
        </r>
      </text>
    </comment>
    <comment ref="AM31" authorId="0" shapeId="0" xr:uid="{00000000-0006-0000-0000-00001F000000}">
      <text>
        <r>
          <rPr>
            <b/>
            <sz val="9"/>
            <color indexed="81"/>
            <rFont val="Tahoma"/>
            <family val="2"/>
          </rPr>
          <t xml:space="preserve">Operative Temperature
</t>
        </r>
        <r>
          <rPr>
            <sz val="9"/>
            <color indexed="81"/>
            <rFont val="Tahoma"/>
            <family val="2"/>
          </rPr>
          <t>Defined as the temperature of a uniform, black enclosure in which a body will exchange the same amount of heat via convection and radiation as in the non-uniform environment</t>
        </r>
      </text>
    </comment>
    <comment ref="AN31" authorId="0" shapeId="0" xr:uid="{00000000-0006-0000-0000-000020000000}">
      <text>
        <r>
          <rPr>
            <b/>
            <sz val="9"/>
            <color indexed="81"/>
            <rFont val="Tahoma"/>
            <family val="2"/>
          </rPr>
          <t>Stefan-Boltzmann Constant</t>
        </r>
      </text>
    </comment>
    <comment ref="AO31" authorId="0" shapeId="0" xr:uid="{00000000-0006-0000-0000-000021000000}">
      <text>
        <r>
          <rPr>
            <b/>
            <sz val="9"/>
            <color indexed="81"/>
            <rFont val="Tahoma"/>
            <family val="2"/>
          </rPr>
          <t>Resistance to Dry Heat Exchange Due to Clothing</t>
        </r>
      </text>
    </comment>
    <comment ref="AP31" authorId="0" shapeId="0" xr:uid="{00000000-0006-0000-0000-000022000000}">
      <text>
        <r>
          <rPr>
            <b/>
            <sz val="9"/>
            <color indexed="81"/>
            <rFont val="Tahoma"/>
            <family val="2"/>
          </rPr>
          <t xml:space="preserve">Rate of Dry Heat Exchange
</t>
        </r>
        <r>
          <rPr>
            <sz val="9"/>
            <color indexed="81"/>
            <rFont val="Tahoma"/>
            <family val="2"/>
          </rPr>
          <t>Sum of Convective and Radiant Heat Exchange</t>
        </r>
      </text>
    </comment>
    <comment ref="AR31" authorId="0" shapeId="0" xr:uid="{00000000-0006-0000-0000-000023000000}">
      <text>
        <r>
          <rPr>
            <b/>
            <sz val="9"/>
            <color indexed="81"/>
            <rFont val="Tahoma"/>
            <family val="2"/>
          </rPr>
          <t>Vapour Pressure at the Saturated Skin Surface</t>
        </r>
      </text>
    </comment>
    <comment ref="AS31" authorId="0" shapeId="0" xr:uid="{00000000-0006-0000-0000-000024000000}">
      <text>
        <r>
          <rPr>
            <b/>
            <sz val="9"/>
            <color indexed="81"/>
            <rFont val="Tahoma"/>
            <family val="2"/>
          </rPr>
          <t>Evaporative Heat Transfer Coefficient</t>
        </r>
      </text>
    </comment>
    <comment ref="AT31" authorId="0" shapeId="0" xr:uid="{00000000-0006-0000-0000-000025000000}">
      <text>
        <r>
          <rPr>
            <b/>
            <sz val="9"/>
            <color indexed="81"/>
            <rFont val="Tahoma"/>
            <family val="2"/>
          </rPr>
          <t>Lewis Relation Coefficient</t>
        </r>
      </text>
    </comment>
    <comment ref="AU31" authorId="0" shapeId="0" xr:uid="{00000000-0006-0000-0000-000026000000}">
      <text>
        <r>
          <rPr>
            <b/>
            <sz val="9"/>
            <color indexed="81"/>
            <rFont val="Tahoma"/>
            <family val="2"/>
          </rPr>
          <t>Latent Heat of Vaporization</t>
        </r>
      </text>
    </comment>
    <comment ref="AV31" authorId="0" shapeId="0" xr:uid="{00000000-0006-0000-0000-000027000000}">
      <text>
        <r>
          <rPr>
            <b/>
            <sz val="9"/>
            <color indexed="81"/>
            <rFont val="Tahoma"/>
            <family val="2"/>
          </rPr>
          <t>Rate of Evaporative Heat Loss Required for Heat Balance</t>
        </r>
      </text>
    </comment>
    <comment ref="AW31" authorId="0" shapeId="0" xr:uid="{00000000-0006-0000-0000-000028000000}">
      <text>
        <r>
          <rPr>
            <b/>
            <sz val="9"/>
            <color indexed="81"/>
            <rFont val="Tahoma"/>
            <family val="2"/>
          </rPr>
          <t>Maximum Capacity for Evaporative Heat Loss to the Environment</t>
        </r>
      </text>
    </comment>
    <comment ref="AZ31" authorId="0" shapeId="0" xr:uid="{00000000-0006-0000-0000-000029000000}">
      <text>
        <r>
          <rPr>
            <b/>
            <sz val="9"/>
            <color indexed="81"/>
            <rFont val="Tahoma"/>
            <family val="2"/>
          </rPr>
          <t>Skin Wettedness Required for Heat Balance</t>
        </r>
      </text>
    </comment>
    <comment ref="BB31" authorId="0" shapeId="0" xr:uid="{00000000-0006-0000-0000-00002A000000}">
      <text>
        <r>
          <rPr>
            <b/>
            <sz val="9"/>
            <color indexed="81"/>
            <rFont val="Tahoma"/>
            <family val="2"/>
          </rPr>
          <t>Sweating Efficiency</t>
        </r>
      </text>
    </comment>
    <comment ref="BC31" authorId="0" shapeId="0" xr:uid="{00000000-0006-0000-0000-00002B000000}">
      <text>
        <r>
          <rPr>
            <b/>
            <sz val="9"/>
            <color indexed="81"/>
            <rFont val="Tahoma"/>
            <family val="2"/>
          </rPr>
          <t>Heat Loss Equivalent from Sweating to Attain Ereq</t>
        </r>
      </text>
    </comment>
    <comment ref="BD31" authorId="0" shapeId="0" xr:uid="{00000000-0006-0000-0000-00002C000000}">
      <text>
        <r>
          <rPr>
            <b/>
            <sz val="9"/>
            <color indexed="81"/>
            <rFont val="Tahoma"/>
            <family val="2"/>
          </rPr>
          <t>Sweat Rate Required for Heat Balance</t>
        </r>
      </text>
    </comment>
    <comment ref="BF31" authorId="0" shapeId="0" xr:uid="{00000000-0006-0000-0000-00002D000000}">
      <text>
        <r>
          <rPr>
            <b/>
            <sz val="9"/>
            <color indexed="81"/>
            <rFont val="Tahoma"/>
            <family val="2"/>
          </rPr>
          <t>Convective and Evaporative Heat Loss from the Respiratory Tract</t>
        </r>
      </text>
    </comment>
    <comment ref="BG31" authorId="0" shapeId="0" xr:uid="{00000000-0006-0000-0000-00002E000000}">
      <text>
        <r>
          <rPr>
            <b/>
            <sz val="9"/>
            <color indexed="81"/>
            <rFont val="Tahoma"/>
            <family val="2"/>
          </rPr>
          <t>Convective and Evaporative Heat Loss from the Respiratory Tract</t>
        </r>
      </text>
    </comment>
  </commentList>
</comments>
</file>

<file path=xl/sharedStrings.xml><?xml version="1.0" encoding="utf-8"?>
<sst xmlns="http://schemas.openxmlformats.org/spreadsheetml/2006/main" count="148" uniqueCount="106">
  <si>
    <t>Created by Ollie Jay</t>
  </si>
  <si>
    <t>Human Heat Balance</t>
  </si>
  <si>
    <t>Primary References:</t>
  </si>
  <si>
    <t>Parsons K (2003) Human Thermal Environments. New York.</t>
  </si>
  <si>
    <t>Gagge AP, and Gonzalez RR. Mechanisms of heat exchange: biophysics and physiology. In: MJ Fregly and CM Blatteis editors. Handbook of Physiology. Environmental Physiology. Bethesda, MD: American Physiological Society; 1996, pp. 45-84.</t>
  </si>
  <si>
    <t>Kerslake DM. The Stress of Hot Environments. London: Cambridge University Press; 1972.</t>
  </si>
  <si>
    <t>Subject, Environment, and Exercise Characteristics</t>
  </si>
  <si>
    <t>Environmental Characteristics</t>
  </si>
  <si>
    <t>Metabolic Rate and Heat Production</t>
  </si>
  <si>
    <t>Dry Heat Exchange</t>
  </si>
  <si>
    <t xml:space="preserve">Evaporative Heat Exchange </t>
  </si>
  <si>
    <t>Sweat Rate</t>
  </si>
  <si>
    <t>Respiratory Heat Exchange</t>
  </si>
  <si>
    <t>Position</t>
  </si>
  <si>
    <t>⁰C</t>
  </si>
  <si>
    <t>%</t>
  </si>
  <si>
    <t>kg</t>
  </si>
  <si>
    <t>m</t>
  </si>
  <si>
    <t>kPa</t>
  </si>
  <si>
    <t>ND</t>
  </si>
  <si>
    <t>clo</t>
  </si>
  <si>
    <t>K</t>
  </si>
  <si>
    <t>torr</t>
  </si>
  <si>
    <t>W</t>
  </si>
  <si>
    <t>Player</t>
  </si>
  <si>
    <t>Ht</t>
  </si>
  <si>
    <t>vcomb</t>
  </si>
  <si>
    <t>vself</t>
  </si>
  <si>
    <t>RER</t>
  </si>
  <si>
    <t>ε</t>
  </si>
  <si>
    <t>Abs Humid</t>
  </si>
  <si>
    <t>v</t>
  </si>
  <si>
    <t>M</t>
  </si>
  <si>
    <t>H</t>
  </si>
  <si>
    <t>h</t>
  </si>
  <si>
    <t>σ</t>
  </si>
  <si>
    <t>C + R</t>
  </si>
  <si>
    <t>LR</t>
  </si>
  <si>
    <t>λ</t>
  </si>
  <si>
    <t>H.S.I.</t>
  </si>
  <si>
    <t>r</t>
  </si>
  <si>
    <t>Slimit</t>
  </si>
  <si>
    <t>Humidity</t>
  </si>
  <si>
    <t>Air speed</t>
  </si>
  <si>
    <t>Globe Temp</t>
  </si>
  <si>
    <t>Air Temp</t>
  </si>
  <si>
    <r>
      <t>m·s</t>
    </r>
    <r>
      <rPr>
        <b/>
        <vertAlign val="superscript"/>
        <sz val="16"/>
        <color theme="1"/>
        <rFont val="Calibri"/>
        <family val="2"/>
      </rPr>
      <t>-1</t>
    </r>
  </si>
  <si>
    <r>
      <t>ml·kg-1·min</t>
    </r>
    <r>
      <rPr>
        <b/>
        <vertAlign val="superscript"/>
        <sz val="16"/>
        <color theme="1"/>
        <rFont val="Calibri"/>
        <family val="2"/>
      </rPr>
      <t>-1</t>
    </r>
    <r>
      <rPr>
        <b/>
        <sz val="16"/>
        <color theme="1"/>
        <rFont val="Calibri"/>
        <family val="2"/>
      </rPr>
      <t xml:space="preserve"> STPD</t>
    </r>
  </si>
  <si>
    <r>
      <t>l·min</t>
    </r>
    <r>
      <rPr>
        <b/>
        <vertAlign val="superscript"/>
        <sz val="16"/>
        <color theme="1"/>
        <rFont val="Calibri"/>
        <family val="2"/>
      </rPr>
      <t>-1</t>
    </r>
    <r>
      <rPr>
        <b/>
        <sz val="16"/>
        <color theme="1"/>
        <rFont val="Calibri"/>
        <family val="2"/>
      </rPr>
      <t xml:space="preserve"> STPD</t>
    </r>
  </si>
  <si>
    <r>
      <t>m</t>
    </r>
    <r>
      <rPr>
        <b/>
        <vertAlign val="superscript"/>
        <sz val="16"/>
        <color theme="1"/>
        <rFont val="Calibri"/>
        <family val="2"/>
      </rPr>
      <t>2</t>
    </r>
    <r>
      <rPr>
        <b/>
        <sz val="16"/>
        <color theme="1"/>
        <rFont val="Calibri"/>
        <family val="2"/>
      </rPr>
      <t>·kPa·W</t>
    </r>
    <r>
      <rPr>
        <b/>
        <vertAlign val="superscript"/>
        <sz val="16"/>
        <color theme="1"/>
        <rFont val="Calibri"/>
        <family val="2"/>
      </rPr>
      <t>-1</t>
    </r>
  </si>
  <si>
    <r>
      <t>m</t>
    </r>
    <r>
      <rPr>
        <b/>
        <vertAlign val="superscript"/>
        <sz val="16"/>
        <color theme="1"/>
        <rFont val="Calibri"/>
        <family val="2"/>
      </rPr>
      <t>2</t>
    </r>
  </si>
  <si>
    <r>
      <t>cm</t>
    </r>
    <r>
      <rPr>
        <b/>
        <vertAlign val="superscript"/>
        <sz val="16"/>
        <color theme="1"/>
        <rFont val="Calibri"/>
        <family val="2"/>
      </rPr>
      <t>2</t>
    </r>
    <r>
      <rPr>
        <b/>
        <sz val="16"/>
        <color theme="1"/>
        <rFont val="Calibri"/>
        <family val="2"/>
      </rPr>
      <t>·kg</t>
    </r>
    <r>
      <rPr>
        <b/>
        <vertAlign val="superscript"/>
        <sz val="16"/>
        <color theme="1"/>
        <rFont val="Calibri"/>
        <family val="2"/>
      </rPr>
      <t>-1</t>
    </r>
  </si>
  <si>
    <r>
      <t>kg·m</t>
    </r>
    <r>
      <rPr>
        <b/>
        <vertAlign val="superscript"/>
        <sz val="16"/>
        <color theme="1"/>
        <rFont val="Calibri"/>
        <family val="2"/>
      </rPr>
      <t>3</t>
    </r>
  </si>
  <si>
    <r>
      <t>km·h</t>
    </r>
    <r>
      <rPr>
        <b/>
        <vertAlign val="superscript"/>
        <sz val="16"/>
        <color theme="1"/>
        <rFont val="Calibri"/>
        <family val="2"/>
      </rPr>
      <t>-1</t>
    </r>
  </si>
  <si>
    <r>
      <t>W·m</t>
    </r>
    <r>
      <rPr>
        <b/>
        <vertAlign val="superscript"/>
        <sz val="16"/>
        <color theme="1"/>
        <rFont val="Calibri"/>
        <family val="2"/>
      </rPr>
      <t>-2</t>
    </r>
  </si>
  <si>
    <r>
      <t>W·m</t>
    </r>
    <r>
      <rPr>
        <b/>
        <vertAlign val="superscript"/>
        <sz val="16"/>
        <color theme="1"/>
        <rFont val="Calibri"/>
        <family val="2"/>
      </rPr>
      <t>-2</t>
    </r>
    <r>
      <rPr>
        <b/>
        <sz val="16"/>
        <color theme="1"/>
        <rFont val="Calibri"/>
        <family val="2"/>
      </rPr>
      <t>·K</t>
    </r>
    <r>
      <rPr>
        <b/>
        <vertAlign val="superscript"/>
        <sz val="16"/>
        <color theme="1"/>
        <rFont val="Calibri"/>
        <family val="2"/>
      </rPr>
      <t>-1</t>
    </r>
  </si>
  <si>
    <r>
      <t>W·m</t>
    </r>
    <r>
      <rPr>
        <b/>
        <vertAlign val="superscript"/>
        <sz val="16"/>
        <color theme="1"/>
        <rFont val="Calibri"/>
        <family val="2"/>
      </rPr>
      <t>-2</t>
    </r>
    <r>
      <rPr>
        <b/>
        <sz val="16"/>
        <color theme="1"/>
        <rFont val="Calibri"/>
        <family val="2"/>
      </rPr>
      <t>·K</t>
    </r>
    <r>
      <rPr>
        <b/>
        <vertAlign val="superscript"/>
        <sz val="16"/>
        <color theme="1"/>
        <rFont val="Calibri"/>
        <family val="2"/>
      </rPr>
      <t>-4</t>
    </r>
  </si>
  <si>
    <r>
      <t>m</t>
    </r>
    <r>
      <rPr>
        <b/>
        <vertAlign val="superscript"/>
        <sz val="16"/>
        <color theme="1"/>
        <rFont val="Calibri"/>
        <family val="2"/>
      </rPr>
      <t>2</t>
    </r>
    <r>
      <rPr>
        <b/>
        <sz val="16"/>
        <color theme="1"/>
        <rFont val="Calibri"/>
        <family val="2"/>
      </rPr>
      <t>·⁰C·W</t>
    </r>
    <r>
      <rPr>
        <b/>
        <vertAlign val="superscript"/>
        <sz val="16"/>
        <color theme="1"/>
        <rFont val="Calibri"/>
        <family val="2"/>
      </rPr>
      <t>-1</t>
    </r>
  </si>
  <si>
    <r>
      <t>W·m</t>
    </r>
    <r>
      <rPr>
        <b/>
        <vertAlign val="superscript"/>
        <sz val="16"/>
        <color theme="1"/>
        <rFont val="Calibri"/>
        <family val="2"/>
      </rPr>
      <t>-2</t>
    </r>
    <r>
      <rPr>
        <b/>
        <sz val="16"/>
        <color theme="1"/>
        <rFont val="Calibri"/>
        <family val="2"/>
      </rPr>
      <t>·kPa</t>
    </r>
    <r>
      <rPr>
        <b/>
        <vertAlign val="superscript"/>
        <sz val="16"/>
        <color theme="1"/>
        <rFont val="Calibri"/>
        <family val="2"/>
      </rPr>
      <t>-1</t>
    </r>
  </si>
  <si>
    <r>
      <t>K·kPa</t>
    </r>
    <r>
      <rPr>
        <b/>
        <vertAlign val="superscript"/>
        <sz val="16"/>
        <color theme="1"/>
        <rFont val="Calibri"/>
        <family val="2"/>
      </rPr>
      <t>-1</t>
    </r>
  </si>
  <si>
    <r>
      <t>J·kg</t>
    </r>
    <r>
      <rPr>
        <b/>
        <vertAlign val="superscript"/>
        <sz val="16"/>
        <color theme="1"/>
        <rFont val="Calibri"/>
        <family val="2"/>
      </rPr>
      <t>-1</t>
    </r>
  </si>
  <si>
    <r>
      <t>g·h</t>
    </r>
    <r>
      <rPr>
        <b/>
        <vertAlign val="superscript"/>
        <sz val="16"/>
        <color theme="1"/>
        <rFont val="Calibri"/>
        <family val="2"/>
      </rPr>
      <t>-1</t>
    </r>
  </si>
  <si>
    <r>
      <t>T</t>
    </r>
    <r>
      <rPr>
        <b/>
        <vertAlign val="subscript"/>
        <sz val="16"/>
        <color theme="1"/>
        <rFont val="Calibri"/>
        <family val="2"/>
      </rPr>
      <t>r</t>
    </r>
  </si>
  <si>
    <r>
      <t>P</t>
    </r>
    <r>
      <rPr>
        <b/>
        <vertAlign val="subscript"/>
        <sz val="16"/>
        <color theme="1"/>
        <rFont val="Calibri"/>
        <family val="2"/>
      </rPr>
      <t>B</t>
    </r>
  </si>
  <si>
    <r>
      <t>VO</t>
    </r>
    <r>
      <rPr>
        <b/>
        <vertAlign val="subscript"/>
        <sz val="16"/>
        <color theme="1"/>
        <rFont val="Calibri"/>
        <family val="2"/>
      </rPr>
      <t>2</t>
    </r>
  </si>
  <si>
    <r>
      <t>T</t>
    </r>
    <r>
      <rPr>
        <b/>
        <vertAlign val="subscript"/>
        <sz val="16"/>
        <color theme="1"/>
        <rFont val="Calibri"/>
        <family val="2"/>
      </rPr>
      <t>cl</t>
    </r>
  </si>
  <si>
    <r>
      <t>T</t>
    </r>
    <r>
      <rPr>
        <b/>
        <vertAlign val="subscript"/>
        <sz val="16"/>
        <color theme="1"/>
        <rFont val="Calibri"/>
        <family val="2"/>
      </rPr>
      <t>sk</t>
    </r>
  </si>
  <si>
    <r>
      <t>A</t>
    </r>
    <r>
      <rPr>
        <b/>
        <vertAlign val="subscript"/>
        <sz val="16"/>
        <color theme="1"/>
        <rFont val="Calibri"/>
        <family val="2"/>
      </rPr>
      <t>r</t>
    </r>
    <r>
      <rPr>
        <b/>
        <sz val="16"/>
        <color theme="1"/>
        <rFont val="Calibri"/>
        <family val="2"/>
      </rPr>
      <t>/A</t>
    </r>
    <r>
      <rPr>
        <b/>
        <vertAlign val="subscript"/>
        <sz val="16"/>
        <color theme="1"/>
        <rFont val="Calibri"/>
        <family val="2"/>
      </rPr>
      <t>D</t>
    </r>
  </si>
  <si>
    <r>
      <t>I</t>
    </r>
    <r>
      <rPr>
        <b/>
        <vertAlign val="subscript"/>
        <sz val="16"/>
        <color theme="1"/>
        <rFont val="Calibri"/>
        <family val="2"/>
      </rPr>
      <t>cl</t>
    </r>
  </si>
  <si>
    <r>
      <t>R</t>
    </r>
    <r>
      <rPr>
        <b/>
        <vertAlign val="subscript"/>
        <sz val="16"/>
        <color theme="1"/>
        <rFont val="Calibri"/>
        <family val="2"/>
      </rPr>
      <t>e,cl</t>
    </r>
  </si>
  <si>
    <r>
      <t>A</t>
    </r>
    <r>
      <rPr>
        <b/>
        <vertAlign val="subscript"/>
        <sz val="16"/>
        <color theme="1"/>
        <rFont val="Calibri"/>
        <family val="2"/>
      </rPr>
      <t>D</t>
    </r>
  </si>
  <si>
    <r>
      <t>A</t>
    </r>
    <r>
      <rPr>
        <b/>
        <vertAlign val="subscript"/>
        <sz val="16"/>
        <color theme="1"/>
        <rFont val="Calibri"/>
        <family val="2"/>
      </rPr>
      <t>D</t>
    </r>
    <r>
      <rPr>
        <b/>
        <sz val="16"/>
        <color theme="1"/>
        <rFont val="Calibri"/>
        <family val="2"/>
      </rPr>
      <t>:m</t>
    </r>
  </si>
  <si>
    <r>
      <t>T</t>
    </r>
    <r>
      <rPr>
        <b/>
        <vertAlign val="subscript"/>
        <sz val="16"/>
        <color theme="1"/>
        <rFont val="Calibri"/>
        <family val="2"/>
      </rPr>
      <t>a</t>
    </r>
  </si>
  <si>
    <r>
      <t>P</t>
    </r>
    <r>
      <rPr>
        <b/>
        <vertAlign val="subscript"/>
        <sz val="16"/>
        <color theme="1"/>
        <rFont val="Calibri"/>
        <family val="2"/>
      </rPr>
      <t>a</t>
    </r>
  </si>
  <si>
    <r>
      <t>P</t>
    </r>
    <r>
      <rPr>
        <b/>
        <vertAlign val="subscript"/>
        <sz val="16"/>
        <color theme="1"/>
        <rFont val="Calibri"/>
        <family val="2"/>
      </rPr>
      <t>sa</t>
    </r>
  </si>
  <si>
    <r>
      <t>f</t>
    </r>
    <r>
      <rPr>
        <b/>
        <vertAlign val="subscript"/>
        <sz val="16"/>
        <color theme="1"/>
        <rFont val="Calibri"/>
        <family val="2"/>
      </rPr>
      <t>cl</t>
    </r>
  </si>
  <si>
    <r>
      <t>h</t>
    </r>
    <r>
      <rPr>
        <b/>
        <vertAlign val="subscript"/>
        <sz val="16"/>
        <color theme="1"/>
        <rFont val="Calibri"/>
        <family val="2"/>
      </rPr>
      <t>c</t>
    </r>
  </si>
  <si>
    <r>
      <t>h</t>
    </r>
    <r>
      <rPr>
        <b/>
        <vertAlign val="subscript"/>
        <sz val="16"/>
        <color theme="1"/>
        <rFont val="Calibri"/>
        <family val="2"/>
      </rPr>
      <t>r</t>
    </r>
  </si>
  <si>
    <r>
      <t>t</t>
    </r>
    <r>
      <rPr>
        <b/>
        <vertAlign val="subscript"/>
        <sz val="16"/>
        <color theme="1"/>
        <rFont val="Calibri"/>
        <family val="2"/>
      </rPr>
      <t>o</t>
    </r>
  </si>
  <si>
    <r>
      <t>R</t>
    </r>
    <r>
      <rPr>
        <b/>
        <vertAlign val="subscript"/>
        <sz val="16"/>
        <color theme="1"/>
        <rFont val="Calibri"/>
        <family val="2"/>
      </rPr>
      <t>cl</t>
    </r>
  </si>
  <si>
    <r>
      <t>P</t>
    </r>
    <r>
      <rPr>
        <b/>
        <vertAlign val="subscript"/>
        <sz val="16"/>
        <color theme="1"/>
        <rFont val="Calibri"/>
        <family val="2"/>
      </rPr>
      <t>s,sk</t>
    </r>
  </si>
  <si>
    <r>
      <t>h</t>
    </r>
    <r>
      <rPr>
        <b/>
        <vertAlign val="subscript"/>
        <sz val="16"/>
        <color theme="1"/>
        <rFont val="Calibri"/>
        <family val="2"/>
      </rPr>
      <t>e</t>
    </r>
  </si>
  <si>
    <r>
      <t>E</t>
    </r>
    <r>
      <rPr>
        <b/>
        <vertAlign val="subscript"/>
        <sz val="16"/>
        <color theme="1"/>
        <rFont val="Calibri"/>
        <family val="2"/>
      </rPr>
      <t>req</t>
    </r>
  </si>
  <si>
    <r>
      <t>E</t>
    </r>
    <r>
      <rPr>
        <b/>
        <vertAlign val="subscript"/>
        <sz val="16"/>
        <color theme="1"/>
        <rFont val="Calibri"/>
        <family val="2"/>
      </rPr>
      <t>max</t>
    </r>
  </si>
  <si>
    <r>
      <t>ω</t>
    </r>
    <r>
      <rPr>
        <b/>
        <vertAlign val="subscript"/>
        <sz val="16"/>
        <color theme="1"/>
        <rFont val="Calibri"/>
        <family val="2"/>
      </rPr>
      <t>req</t>
    </r>
  </si>
  <si>
    <r>
      <t>S</t>
    </r>
    <r>
      <rPr>
        <b/>
        <vertAlign val="subscript"/>
        <sz val="16"/>
        <color theme="1"/>
        <rFont val="Calibri"/>
        <family val="2"/>
      </rPr>
      <t>req</t>
    </r>
  </si>
  <si>
    <r>
      <t>C</t>
    </r>
    <r>
      <rPr>
        <b/>
        <vertAlign val="subscript"/>
        <sz val="16"/>
        <color theme="1"/>
        <rFont val="Calibri"/>
        <family val="2"/>
      </rPr>
      <t>res</t>
    </r>
    <r>
      <rPr>
        <b/>
        <sz val="16"/>
        <color theme="1"/>
        <rFont val="Calibri"/>
        <family val="2"/>
      </rPr>
      <t xml:space="preserve"> + E</t>
    </r>
    <r>
      <rPr>
        <b/>
        <vertAlign val="subscript"/>
        <sz val="16"/>
        <color theme="1"/>
        <rFont val="Calibri"/>
        <family val="2"/>
      </rPr>
      <t>res</t>
    </r>
  </si>
  <si>
    <t>Batsman</t>
  </si>
  <si>
    <t>Bowler</t>
  </si>
  <si>
    <t>Fielder</t>
  </si>
  <si>
    <t>Wind</t>
  </si>
  <si>
    <t>Black Globe Temp</t>
  </si>
  <si>
    <r>
      <t>m·s</t>
    </r>
    <r>
      <rPr>
        <b/>
        <vertAlign val="superscript"/>
        <sz val="24"/>
        <color theme="1"/>
        <rFont val="Avenir Book"/>
        <family val="2"/>
      </rPr>
      <t>-1</t>
    </r>
  </si>
  <si>
    <t>ENTER meteorological conditions</t>
  </si>
  <si>
    <t>Relative Humidity</t>
  </si>
  <si>
    <t>RISK</t>
  </si>
  <si>
    <t>Heat</t>
  </si>
  <si>
    <r>
      <rPr>
        <b/>
        <sz val="24"/>
        <color theme="1"/>
        <rFont val="Papyrus Condensed"/>
      </rPr>
      <t>⁰</t>
    </r>
    <r>
      <rPr>
        <b/>
        <sz val="24"/>
        <color theme="1"/>
        <rFont val="Avenir Heavy"/>
        <family val="2"/>
      </rPr>
      <t>C</t>
    </r>
  </si>
  <si>
    <r>
      <t>km·h</t>
    </r>
    <r>
      <rPr>
        <b/>
        <vertAlign val="superscript"/>
        <sz val="24"/>
        <color theme="1"/>
        <rFont val="Avenir Book"/>
        <family val="2"/>
      </rPr>
      <t>-1</t>
    </r>
  </si>
  <si>
    <t xml:space="preserve">&gt;10: Consider suspension of play </t>
  </si>
  <si>
    <t>8-10: Extended extra breaks recommended</t>
  </si>
  <si>
    <t>0-4: Play proceed as normal</t>
  </si>
  <si>
    <t>5-7: Extra breaks recommended</t>
  </si>
  <si>
    <t>WHAT MONTH? Enter (0 or 1):</t>
  </si>
  <si>
    <t>Temp correction</t>
  </si>
  <si>
    <t>HOW SUNNY? Enter (0-4):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</si>
</sst>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45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65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theme="1"/>
      <name val="Calibri"/>
      <family val="3"/>
      <charset val="134"/>
      <scheme val="minor"/>
    </font>
    <font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Calibri"/>
      <family val="2"/>
    </font>
    <font>
      <b/>
      <sz val="24"/>
      <color theme="1"/>
      <name val="Calibri"/>
      <family val="2"/>
      <scheme val="minor"/>
    </font>
    <font>
      <sz val="24"/>
      <name val="Calibri"/>
      <family val="2"/>
      <scheme val="minor"/>
    </font>
    <font>
      <sz val="24"/>
      <color rgb="FF006100"/>
      <name val="Calibri"/>
      <family val="2"/>
      <scheme val="minor"/>
    </font>
    <font>
      <sz val="36"/>
      <color theme="1"/>
      <name val="Calibri"/>
      <family val="2"/>
      <scheme val="minor"/>
    </font>
    <font>
      <sz val="36"/>
      <name val="Calibri"/>
      <family val="2"/>
      <scheme val="minor"/>
    </font>
    <font>
      <sz val="12"/>
      <color theme="0" tint="-0.34998626667073579"/>
      <name val="Calibri"/>
      <family val="2"/>
      <scheme val="minor"/>
    </font>
    <font>
      <sz val="36"/>
      <color theme="0" tint="-0.34998626667073579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36"/>
      <color rgb="FFFF0000"/>
      <name val="Calibri"/>
      <family val="2"/>
      <scheme val="minor"/>
    </font>
    <font>
      <sz val="16"/>
      <color theme="1"/>
      <name val="Calibri"/>
      <family val="2"/>
    </font>
    <font>
      <b/>
      <sz val="16"/>
      <color theme="1"/>
      <name val="Calibri"/>
      <family val="2"/>
    </font>
    <font>
      <b/>
      <vertAlign val="superscript"/>
      <sz val="16"/>
      <color theme="1"/>
      <name val="Calibri"/>
      <family val="2"/>
    </font>
    <font>
      <b/>
      <vertAlign val="subscript"/>
      <sz val="16"/>
      <color theme="1"/>
      <name val="Calibri"/>
      <family val="2"/>
    </font>
    <font>
      <sz val="16"/>
      <name val="Calibri"/>
      <family val="2"/>
    </font>
    <font>
      <sz val="16"/>
      <color rgb="FF006100"/>
      <name val="Calibri"/>
      <family val="2"/>
    </font>
    <font>
      <sz val="16"/>
      <color rgb="FF9C6500"/>
      <name val="Calibri"/>
      <family val="2"/>
    </font>
    <font>
      <b/>
      <sz val="24"/>
      <color theme="1"/>
      <name val="Avenir Book"/>
      <family val="2"/>
    </font>
    <font>
      <b/>
      <vertAlign val="superscript"/>
      <sz val="24"/>
      <color theme="1"/>
      <name val="Avenir Book"/>
      <family val="2"/>
    </font>
    <font>
      <sz val="24"/>
      <name val="Avenir Book"/>
      <family val="2"/>
    </font>
    <font>
      <sz val="36"/>
      <name val="Avenir Book"/>
      <family val="2"/>
    </font>
    <font>
      <b/>
      <sz val="36"/>
      <color theme="0"/>
      <name val="Avenir Heavy"/>
      <family val="2"/>
    </font>
    <font>
      <b/>
      <sz val="24"/>
      <color theme="1"/>
      <name val="Papyrus Condensed"/>
    </font>
    <font>
      <b/>
      <sz val="24"/>
      <color theme="1"/>
      <name val="Avenir Heavy"/>
      <family val="2"/>
    </font>
    <font>
      <b/>
      <sz val="36"/>
      <color rgb="FFFF0000"/>
      <name val="Avenir Book"/>
      <family val="2"/>
    </font>
    <font>
      <sz val="8"/>
      <name val="Calibri"/>
      <family val="2"/>
      <scheme val="minor"/>
    </font>
    <font>
      <b/>
      <sz val="26"/>
      <color theme="1"/>
      <name val="Avenir Book"/>
      <family val="2"/>
    </font>
    <font>
      <sz val="26"/>
      <color theme="1"/>
      <name val="Calibri"/>
      <family val="2"/>
      <scheme val="minor"/>
    </font>
    <font>
      <b/>
      <sz val="26"/>
      <color theme="0" tint="-0.34998626667073579"/>
      <name val="Avenir Book"/>
      <family val="2"/>
    </font>
    <font>
      <sz val="26"/>
      <color theme="0" tint="-0.34998626667073579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Avenir Book"/>
      <family val="2"/>
    </font>
  </fonts>
  <fills count="1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5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51">
    <xf numFmtId="0" fontId="0" fillId="0" borderId="0" xfId="0"/>
    <xf numFmtId="0" fontId="0" fillId="0" borderId="0" xfId="0" applyFill="1"/>
    <xf numFmtId="0" fontId="6" fillId="0" borderId="0" xfId="0" applyFont="1"/>
    <xf numFmtId="0" fontId="6" fillId="0" borderId="0" xfId="0" applyFont="1" applyAlignment="1">
      <alignment horizontal="left"/>
    </xf>
    <xf numFmtId="0" fontId="0" fillId="0" borderId="0" xfId="0" applyFont="1"/>
    <xf numFmtId="0" fontId="0" fillId="0" borderId="0" xfId="0" applyFont="1" applyBorder="1"/>
    <xf numFmtId="0" fontId="7" fillId="0" borderId="0" xfId="0" applyFont="1"/>
    <xf numFmtId="0" fontId="0" fillId="0" borderId="0" xfId="0" applyAlignment="1">
      <alignment horizontal="center"/>
    </xf>
    <xf numFmtId="1" fontId="0" fillId="0" borderId="0" xfId="0" applyNumberFormat="1"/>
    <xf numFmtId="164" fontId="12" fillId="0" borderId="0" xfId="0" applyNumberFormat="1" applyFont="1" applyFill="1" applyBorder="1" applyAlignment="1">
      <alignment horizontal="center"/>
    </xf>
    <xf numFmtId="164" fontId="13" fillId="0" borderId="0" xfId="323" applyNumberFormat="1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" fontId="15" fillId="0" borderId="0" xfId="323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>
      <alignment horizontal="center"/>
    </xf>
    <xf numFmtId="0" fontId="17" fillId="0" borderId="0" xfId="0" applyFont="1" applyFill="1"/>
    <xf numFmtId="0" fontId="16" fillId="0" borderId="0" xfId="0" applyFont="1" applyFill="1"/>
    <xf numFmtId="164" fontId="15" fillId="0" borderId="0" xfId="0" applyNumberFormat="1" applyFont="1" applyFill="1" applyBorder="1"/>
    <xf numFmtId="0" fontId="18" fillId="0" borderId="0" xfId="0" applyFont="1" applyFill="1"/>
    <xf numFmtId="0" fontId="5" fillId="0" borderId="0" xfId="0" applyFont="1" applyFill="1"/>
    <xf numFmtId="0" fontId="19" fillId="0" borderId="0" xfId="0" applyFont="1" applyFill="1"/>
    <xf numFmtId="0" fontId="5" fillId="0" borderId="0" xfId="0" applyFont="1"/>
    <xf numFmtId="0" fontId="0" fillId="0" borderId="0" xfId="0" applyBorder="1"/>
    <xf numFmtId="0" fontId="20" fillId="0" borderId="0" xfId="0" applyFont="1" applyAlignment="1">
      <alignment horizontal="center"/>
    </xf>
    <xf numFmtId="0" fontId="21" fillId="0" borderId="2" xfId="0" applyFont="1" applyBorder="1" applyAlignment="1"/>
    <xf numFmtId="0" fontId="21" fillId="0" borderId="3" xfId="0" applyFont="1" applyBorder="1" applyAlignment="1"/>
    <xf numFmtId="0" fontId="21" fillId="0" borderId="6" xfId="0" applyFont="1" applyBorder="1" applyAlignment="1"/>
    <xf numFmtId="0" fontId="21" fillId="0" borderId="4" xfId="0" applyFont="1" applyBorder="1" applyAlignment="1"/>
    <xf numFmtId="0" fontId="21" fillId="0" borderId="3" xfId="0" applyFont="1" applyBorder="1" applyAlignment="1">
      <alignment horizontal="center"/>
    </xf>
    <xf numFmtId="0" fontId="21" fillId="9" borderId="5" xfId="0" applyFont="1" applyFill="1" applyBorder="1" applyAlignment="1">
      <alignment horizontal="center"/>
    </xf>
    <xf numFmtId="0" fontId="21" fillId="9" borderId="6" xfId="0" applyFont="1" applyFill="1" applyBorder="1" applyAlignment="1">
      <alignment horizontal="center"/>
    </xf>
    <xf numFmtId="2" fontId="21" fillId="9" borderId="6" xfId="0" applyNumberFormat="1" applyFont="1" applyFill="1" applyBorder="1" applyAlignment="1">
      <alignment horizontal="center"/>
    </xf>
    <xf numFmtId="0" fontId="21" fillId="0" borderId="5" xfId="0" applyFont="1" applyFill="1" applyBorder="1" applyAlignment="1">
      <alignment horizontal="center"/>
    </xf>
    <xf numFmtId="0" fontId="21" fillId="0" borderId="7" xfId="0" applyFont="1" applyFill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1" fillId="0" borderId="6" xfId="0" applyFont="1" applyFill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0" fontId="21" fillId="10" borderId="5" xfId="0" applyFont="1" applyFill="1" applyBorder="1" applyAlignment="1">
      <alignment horizontal="center"/>
    </xf>
    <xf numFmtId="0" fontId="21" fillId="10" borderId="6" xfId="0" applyFont="1" applyFill="1" applyBorder="1" applyAlignment="1">
      <alignment horizontal="center"/>
    </xf>
    <xf numFmtId="0" fontId="21" fillId="10" borderId="7" xfId="0" applyFont="1" applyFill="1" applyBorder="1" applyAlignment="1">
      <alignment horizontal="center"/>
    </xf>
    <xf numFmtId="0" fontId="21" fillId="7" borderId="7" xfId="0" applyFont="1" applyFill="1" applyBorder="1" applyAlignment="1">
      <alignment horizontal="center"/>
    </xf>
    <xf numFmtId="0" fontId="21" fillId="8" borderId="6" xfId="0" applyFont="1" applyFill="1" applyBorder="1" applyAlignment="1">
      <alignment horizontal="center"/>
    </xf>
    <xf numFmtId="0" fontId="21" fillId="9" borderId="8" xfId="0" applyFont="1" applyFill="1" applyBorder="1" applyAlignment="1">
      <alignment horizontal="center"/>
    </xf>
    <xf numFmtId="0" fontId="21" fillId="9" borderId="9" xfId="0" applyFont="1" applyFill="1" applyBorder="1" applyAlignment="1">
      <alignment horizontal="center"/>
    </xf>
    <xf numFmtId="2" fontId="21" fillId="9" borderId="9" xfId="0" applyNumberFormat="1" applyFont="1" applyFill="1" applyBorder="1" applyAlignment="1">
      <alignment horizontal="center"/>
    </xf>
    <xf numFmtId="0" fontId="21" fillId="0" borderId="8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21" fillId="0" borderId="9" xfId="0" applyFont="1" applyFill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21" fillId="10" borderId="8" xfId="0" applyFont="1" applyFill="1" applyBorder="1" applyAlignment="1">
      <alignment horizontal="center"/>
    </xf>
    <xf numFmtId="0" fontId="21" fillId="10" borderId="9" xfId="0" applyFont="1" applyFill="1" applyBorder="1" applyAlignment="1">
      <alignment horizontal="center"/>
    </xf>
    <xf numFmtId="0" fontId="21" fillId="10" borderId="10" xfId="0" applyFont="1" applyFill="1" applyBorder="1" applyAlignment="1">
      <alignment horizontal="center"/>
    </xf>
    <xf numFmtId="0" fontId="21" fillId="7" borderId="10" xfId="0" applyFont="1" applyFill="1" applyBorder="1" applyAlignment="1">
      <alignment horizontal="center"/>
    </xf>
    <xf numFmtId="0" fontId="21" fillId="8" borderId="9" xfId="0" applyFont="1" applyFill="1" applyBorder="1" applyAlignment="1">
      <alignment horizontal="center"/>
    </xf>
    <xf numFmtId="164" fontId="24" fillId="0" borderId="0" xfId="0" applyNumberFormat="1" applyFont="1" applyFill="1" applyBorder="1" applyAlignment="1">
      <alignment horizontal="center"/>
    </xf>
    <xf numFmtId="164" fontId="25" fillId="5" borderId="1" xfId="323" applyNumberFormat="1" applyFont="1" applyBorder="1" applyAlignment="1">
      <alignment horizontal="center"/>
    </xf>
    <xf numFmtId="2" fontId="25" fillId="5" borderId="1" xfId="323" applyNumberFormat="1" applyFont="1" applyBorder="1" applyAlignment="1">
      <alignment horizontal="center"/>
    </xf>
    <xf numFmtId="0" fontId="24" fillId="0" borderId="2" xfId="0" applyFont="1" applyFill="1" applyBorder="1"/>
    <xf numFmtId="2" fontId="24" fillId="0" borderId="1" xfId="323" applyNumberFormat="1" applyFont="1" applyFill="1" applyBorder="1" applyAlignment="1">
      <alignment horizontal="center"/>
    </xf>
    <xf numFmtId="164" fontId="24" fillId="0" borderId="3" xfId="0" applyNumberFormat="1" applyFont="1" applyFill="1" applyBorder="1"/>
    <xf numFmtId="164" fontId="20" fillId="0" borderId="1" xfId="0" applyNumberFormat="1" applyFont="1" applyFill="1" applyBorder="1" applyAlignment="1">
      <alignment horizontal="center"/>
    </xf>
    <xf numFmtId="2" fontId="20" fillId="0" borderId="1" xfId="0" applyNumberFormat="1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2" fontId="20" fillId="0" borderId="1" xfId="0" applyNumberFormat="1" applyFont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165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64" fontId="20" fillId="0" borderId="1" xfId="0" applyNumberFormat="1" applyFont="1" applyBorder="1" applyAlignment="1">
      <alignment horizontal="center"/>
    </xf>
    <xf numFmtId="164" fontId="20" fillId="7" borderId="1" xfId="0" applyNumberFormat="1" applyFont="1" applyFill="1" applyBorder="1" applyAlignment="1">
      <alignment horizontal="center"/>
    </xf>
    <xf numFmtId="1" fontId="20" fillId="8" borderId="1" xfId="0" applyNumberFormat="1" applyFont="1" applyFill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0" fontId="20" fillId="0" borderId="0" xfId="0" applyFont="1"/>
    <xf numFmtId="0" fontId="21" fillId="3" borderId="6" xfId="0" applyFont="1" applyFill="1" applyBorder="1" applyAlignment="1">
      <alignment horizontal="center"/>
    </xf>
    <xf numFmtId="0" fontId="21" fillId="3" borderId="9" xfId="0" applyFont="1" applyFill="1" applyBorder="1" applyAlignment="1">
      <alignment horizontal="center"/>
    </xf>
    <xf numFmtId="164" fontId="20" fillId="3" borderId="1" xfId="0" applyNumberFormat="1" applyFont="1" applyFill="1" applyBorder="1" applyAlignment="1">
      <alignment horizontal="center"/>
    </xf>
    <xf numFmtId="164" fontId="26" fillId="0" borderId="1" xfId="324" applyNumberFormat="1" applyFont="1" applyFill="1" applyBorder="1" applyAlignment="1">
      <alignment horizontal="center"/>
    </xf>
    <xf numFmtId="2" fontId="26" fillId="0" borderId="1" xfId="324" applyNumberFormat="1" applyFont="1" applyFill="1" applyBorder="1" applyAlignment="1">
      <alignment horizontal="center"/>
    </xf>
    <xf numFmtId="0" fontId="21" fillId="0" borderId="1" xfId="0" applyFont="1" applyBorder="1" applyAlignment="1"/>
    <xf numFmtId="0" fontId="21" fillId="0" borderId="1" xfId="0" applyFont="1" applyFill="1" applyBorder="1" applyAlignment="1">
      <alignment horizontal="center"/>
    </xf>
    <xf numFmtId="164" fontId="24" fillId="3" borderId="4" xfId="0" applyNumberFormat="1" applyFont="1" applyFill="1" applyBorder="1"/>
    <xf numFmtId="164" fontId="24" fillId="3" borderId="1" xfId="0" applyNumberFormat="1" applyFont="1" applyFill="1" applyBorder="1"/>
    <xf numFmtId="0" fontId="14" fillId="0" borderId="0" xfId="0" applyFont="1" applyFill="1"/>
    <xf numFmtId="0" fontId="27" fillId="9" borderId="25" xfId="0" applyFont="1" applyFill="1" applyBorder="1" applyAlignment="1">
      <alignment horizontal="center"/>
    </xf>
    <xf numFmtId="0" fontId="27" fillId="9" borderId="1" xfId="0" applyFont="1" applyFill="1" applyBorder="1" applyAlignment="1">
      <alignment horizontal="center"/>
    </xf>
    <xf numFmtId="0" fontId="27" fillId="9" borderId="26" xfId="0" applyFont="1" applyFill="1" applyBorder="1" applyAlignment="1">
      <alignment horizontal="center"/>
    </xf>
    <xf numFmtId="0" fontId="27" fillId="12" borderId="17" xfId="0" applyFont="1" applyFill="1" applyBorder="1" applyAlignment="1">
      <alignment horizontal="center"/>
    </xf>
    <xf numFmtId="0" fontId="27" fillId="12" borderId="1" xfId="0" applyFont="1" applyFill="1" applyBorder="1" applyAlignment="1">
      <alignment horizontal="center"/>
    </xf>
    <xf numFmtId="164" fontId="29" fillId="12" borderId="17" xfId="0" applyNumberFormat="1" applyFont="1" applyFill="1" applyBorder="1" applyAlignment="1">
      <alignment horizontal="center"/>
    </xf>
    <xf numFmtId="1" fontId="31" fillId="11" borderId="13" xfId="323" applyNumberFormat="1" applyFont="1" applyFill="1" applyBorder="1" applyAlignment="1">
      <alignment horizontal="center"/>
    </xf>
    <xf numFmtId="164" fontId="31" fillId="11" borderId="28" xfId="323" applyNumberFormat="1" applyFont="1" applyFill="1" applyBorder="1" applyAlignment="1">
      <alignment horizontal="center"/>
    </xf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0" fillId="0" borderId="17" xfId="0" applyFont="1" applyBorder="1"/>
    <xf numFmtId="0" fontId="0" fillId="0" borderId="18" xfId="0" applyFont="1" applyBorder="1"/>
    <xf numFmtId="0" fontId="7" fillId="0" borderId="0" xfId="0" applyFont="1" applyBorder="1"/>
    <xf numFmtId="0" fontId="0" fillId="12" borderId="19" xfId="0" applyFont="1" applyFill="1" applyBorder="1"/>
    <xf numFmtId="0" fontId="0" fillId="12" borderId="20" xfId="0" applyFont="1" applyFill="1" applyBorder="1"/>
    <xf numFmtId="0" fontId="0" fillId="12" borderId="21" xfId="0" applyFont="1" applyFill="1" applyBorder="1"/>
    <xf numFmtId="164" fontId="30" fillId="14" borderId="1" xfId="0" applyNumberFormat="1" applyFont="1" applyFill="1" applyBorder="1" applyAlignment="1">
      <alignment horizontal="center"/>
    </xf>
    <xf numFmtId="164" fontId="30" fillId="14" borderId="1" xfId="323" applyNumberFormat="1" applyFont="1" applyFill="1" applyBorder="1" applyAlignment="1">
      <alignment horizontal="center"/>
    </xf>
    <xf numFmtId="0" fontId="0" fillId="14" borderId="0" xfId="0" applyFont="1" applyFill="1"/>
    <xf numFmtId="0" fontId="36" fillId="3" borderId="14" xfId="0" applyFont="1" applyFill="1" applyBorder="1"/>
    <xf numFmtId="0" fontId="37" fillId="3" borderId="15" xfId="0" applyFont="1" applyFill="1" applyBorder="1"/>
    <xf numFmtId="0" fontId="37" fillId="3" borderId="16" xfId="0" applyFont="1" applyFill="1" applyBorder="1"/>
    <xf numFmtId="0" fontId="36" fillId="8" borderId="17" xfId="0" applyFont="1" applyFill="1" applyBorder="1"/>
    <xf numFmtId="0" fontId="37" fillId="8" borderId="0" xfId="0" applyFont="1" applyFill="1" applyBorder="1"/>
    <xf numFmtId="0" fontId="37" fillId="8" borderId="18" xfId="0" applyFont="1" applyFill="1" applyBorder="1"/>
    <xf numFmtId="0" fontId="36" fillId="2" borderId="17" xfId="0" applyFont="1" applyFill="1" applyBorder="1"/>
    <xf numFmtId="0" fontId="37" fillId="2" borderId="0" xfId="0" applyFont="1" applyFill="1"/>
    <xf numFmtId="0" fontId="37" fillId="2" borderId="18" xfId="0" applyFont="1" applyFill="1" applyBorder="1"/>
    <xf numFmtId="0" fontId="38" fillId="4" borderId="19" xfId="0" applyFont="1" applyFill="1" applyBorder="1"/>
    <xf numFmtId="0" fontId="39" fillId="4" borderId="20" xfId="0" applyFont="1" applyFill="1" applyBorder="1"/>
    <xf numFmtId="0" fontId="39" fillId="4" borderId="21" xfId="0" applyFont="1" applyFill="1" applyBorder="1"/>
    <xf numFmtId="2" fontId="26" fillId="0" borderId="2" xfId="324" applyNumberFormat="1" applyFont="1" applyFill="1" applyBorder="1" applyAlignment="1">
      <alignment horizontal="center"/>
    </xf>
    <xf numFmtId="0" fontId="6" fillId="0" borderId="0" xfId="0" applyFont="1" applyFill="1" applyBorder="1"/>
    <xf numFmtId="0" fontId="27" fillId="0" borderId="0" xfId="0" applyFont="1" applyFill="1" applyBorder="1" applyAlignment="1">
      <alignment horizontal="center"/>
    </xf>
    <xf numFmtId="164" fontId="31" fillId="0" borderId="0" xfId="323" applyNumberFormat="1" applyFont="1" applyFill="1" applyBorder="1" applyAlignment="1">
      <alignment horizontal="center"/>
    </xf>
    <xf numFmtId="164" fontId="34" fillId="0" borderId="0" xfId="323" applyNumberFormat="1" applyFont="1" applyFill="1" applyBorder="1" applyAlignment="1">
      <alignment horizontal="center"/>
    </xf>
    <xf numFmtId="1" fontId="34" fillId="0" borderId="0" xfId="323" applyNumberFormat="1" applyFont="1" applyFill="1" applyBorder="1" applyAlignment="1">
      <alignment horizontal="center"/>
    </xf>
    <xf numFmtId="0" fontId="37" fillId="0" borderId="0" xfId="0" applyFont="1" applyFill="1" applyBorder="1"/>
    <xf numFmtId="0" fontId="39" fillId="0" borderId="0" xfId="0" applyFont="1" applyFill="1" applyBorder="1"/>
    <xf numFmtId="0" fontId="21" fillId="0" borderId="3" xfId="0" applyFont="1" applyFill="1" applyBorder="1" applyAlignment="1"/>
    <xf numFmtId="0" fontId="27" fillId="0" borderId="2" xfId="0" applyFont="1" applyFill="1" applyBorder="1" applyAlignment="1">
      <alignment horizontal="center"/>
    </xf>
    <xf numFmtId="164" fontId="30" fillId="0" borderId="0" xfId="323" applyNumberFormat="1" applyFont="1" applyFill="1" applyBorder="1" applyAlignment="1">
      <alignment horizontal="center"/>
    </xf>
    <xf numFmtId="0" fontId="34" fillId="0" borderId="29" xfId="0" applyFont="1" applyFill="1" applyBorder="1" applyAlignment="1">
      <alignment horizontal="center"/>
    </xf>
    <xf numFmtId="164" fontId="31" fillId="11" borderId="27" xfId="323" applyNumberFormat="1" applyFont="1" applyFill="1" applyBorder="1" applyAlignment="1">
      <alignment horizontal="center"/>
    </xf>
    <xf numFmtId="0" fontId="44" fillId="0" borderId="0" xfId="0" applyFont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21" fillId="10" borderId="8" xfId="0" applyFont="1" applyFill="1" applyBorder="1" applyAlignment="1">
      <alignment horizontal="center"/>
    </xf>
    <xf numFmtId="0" fontId="21" fillId="10" borderId="9" xfId="0" applyFont="1" applyFill="1" applyBorder="1" applyAlignment="1">
      <alignment horizontal="center"/>
    </xf>
    <xf numFmtId="0" fontId="21" fillId="10" borderId="10" xfId="0" applyFont="1" applyFill="1" applyBorder="1" applyAlignment="1">
      <alignment horizontal="center"/>
    </xf>
    <xf numFmtId="0" fontId="27" fillId="11" borderId="22" xfId="0" applyFont="1" applyFill="1" applyBorder="1" applyAlignment="1">
      <alignment horizontal="center"/>
    </xf>
    <xf numFmtId="0" fontId="27" fillId="11" borderId="23" xfId="0" applyFont="1" applyFill="1" applyBorder="1" applyAlignment="1">
      <alignment horizontal="center"/>
    </xf>
    <xf numFmtId="0" fontId="27" fillId="11" borderId="24" xfId="0" applyFont="1" applyFill="1" applyBorder="1" applyAlignment="1">
      <alignment horizontal="center"/>
    </xf>
    <xf numFmtId="164" fontId="34" fillId="13" borderId="1" xfId="323" applyNumberFormat="1" applyFont="1" applyFill="1" applyBorder="1" applyAlignment="1">
      <alignment horizontal="center"/>
    </xf>
    <xf numFmtId="1" fontId="34" fillId="4" borderId="1" xfId="323" applyNumberFormat="1" applyFont="1" applyFill="1" applyBorder="1" applyAlignment="1">
      <alignment horizontal="center"/>
    </xf>
    <xf numFmtId="164" fontId="43" fillId="0" borderId="0" xfId="0" applyNumberFormat="1" applyFont="1" applyAlignment="1">
      <alignment horizontal="right"/>
    </xf>
    <xf numFmtId="164" fontId="43" fillId="0" borderId="18" xfId="0" applyNumberFormat="1" applyFont="1" applyBorder="1" applyAlignment="1">
      <alignment horizontal="right"/>
    </xf>
    <xf numFmtId="0" fontId="42" fillId="0" borderId="0" xfId="0" applyFont="1" applyFill="1" applyBorder="1" applyAlignment="1">
      <alignment horizontal="right"/>
    </xf>
    <xf numFmtId="0" fontId="43" fillId="0" borderId="0" xfId="0" applyFont="1" applyFill="1" applyAlignment="1">
      <alignment horizontal="right"/>
    </xf>
  </cellXfs>
  <cellStyles count="3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Good" xfId="323" builtinId="26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Neutral" xfId="324" builtinId="28"/>
    <cellStyle name="Normal" xfId="0" builtinId="0"/>
  </cellStyles>
  <dxfs count="4">
    <dxf>
      <font>
        <b/>
        <i val="0"/>
        <strike val="0"/>
        <color theme="1"/>
      </font>
      <fill>
        <patternFill patternType="solid">
          <fgColor rgb="FF008000"/>
          <bgColor rgb="FF008000"/>
        </patternFill>
      </fill>
    </dxf>
    <dxf>
      <font>
        <b/>
        <i val="0"/>
        <color auto="1"/>
      </font>
      <fill>
        <patternFill patternType="solid">
          <fgColor rgb="FFFF6600"/>
          <bgColor rgb="FFFF6600"/>
        </patternFill>
      </fill>
    </dxf>
    <dxf>
      <font>
        <b/>
        <i val="0"/>
        <color auto="1"/>
      </font>
      <fill>
        <patternFill patternType="solid">
          <fgColor indexed="64"/>
          <bgColor rgb="FFFF0000"/>
        </patternFill>
      </fill>
    </dxf>
    <dxf>
      <font>
        <b/>
        <i val="0"/>
        <color theme="2"/>
      </font>
      <fill>
        <patternFill patternType="solid">
          <fgColor indexed="64"/>
          <bgColor theme="1"/>
        </patternFill>
      </fill>
    </dxf>
  </dxfs>
  <tableStyles count="0" defaultTableStyle="TableStyleMedium9" defaultPivotStyle="PivotStyleMedium4"/>
  <colors>
    <mruColors>
      <color rgb="FFFD272A"/>
      <color rgb="FFFF0000"/>
      <color rgb="FF4DC334"/>
      <color rgb="FFFF8000"/>
      <color rgb="FF00FF00"/>
      <color rgb="FF008040"/>
      <color rgb="FF00FF80"/>
      <color rgb="FF66FF66"/>
      <color rgb="FF8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iff"/><Relationship Id="rId2" Type="http://schemas.openxmlformats.org/officeDocument/2006/relationships/image" Target="../media/image2.tiff"/><Relationship Id="rId1" Type="http://schemas.openxmlformats.org/officeDocument/2006/relationships/image" Target="../media/image1.tiff"/><Relationship Id="rId6" Type="http://schemas.openxmlformats.org/officeDocument/2006/relationships/image" Target="../media/image6.tiff"/><Relationship Id="rId5" Type="http://schemas.openxmlformats.org/officeDocument/2006/relationships/image" Target="../media/image5.tiff"/><Relationship Id="rId4" Type="http://schemas.openxmlformats.org/officeDocument/2006/relationships/image" Target="../media/image4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11544</xdr:colOff>
      <xdr:row>15</xdr:row>
      <xdr:rowOff>508006</xdr:rowOff>
    </xdr:from>
    <xdr:to>
      <xdr:col>14</xdr:col>
      <xdr:colOff>611907</xdr:colOff>
      <xdr:row>19</xdr:row>
      <xdr:rowOff>496462</xdr:rowOff>
    </xdr:to>
    <xdr:grpSp>
      <xdr:nvGrpSpPr>
        <xdr:cNvPr id="20" name="Group 19">
          <a:extLst>
            <a:ext uri="{FF2B5EF4-FFF2-40B4-BE49-F238E27FC236}">
              <a16:creationId xmlns:a16="http://schemas.microsoft.com/office/drawing/2014/main" id="{E25DC03F-8516-494D-B68E-FD9DB416E854}"/>
            </a:ext>
          </a:extLst>
        </xdr:cNvPr>
        <xdr:cNvGrpSpPr/>
      </xdr:nvGrpSpPr>
      <xdr:grpSpPr>
        <a:xfrm>
          <a:off x="7655357" y="3322643"/>
          <a:ext cx="5958175" cy="2067288"/>
          <a:chOff x="7700817" y="5357090"/>
          <a:chExt cx="5992091" cy="2078183"/>
        </a:xfrm>
      </xdr:grpSpPr>
      <xdr:sp macro="" textlink="">
        <xdr:nvSpPr>
          <xdr:cNvPr id="10" name="TextBox 9">
            <a:extLst>
              <a:ext uri="{FF2B5EF4-FFF2-40B4-BE49-F238E27FC236}">
                <a16:creationId xmlns:a16="http://schemas.microsoft.com/office/drawing/2014/main" id="{D0A4879A-4983-6A49-8851-7FEAE9DA2F18}"/>
              </a:ext>
            </a:extLst>
          </xdr:cNvPr>
          <xdr:cNvSpPr txBox="1"/>
        </xdr:nvSpPr>
        <xdr:spPr>
          <a:xfrm>
            <a:off x="7700817" y="5357090"/>
            <a:ext cx="5992091" cy="2078183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2400" b="1">
                <a:solidFill>
                  <a:srgbClr val="FF0000"/>
                </a:solidFill>
              </a:rPr>
              <a:t>WHAT</a:t>
            </a:r>
            <a:r>
              <a:rPr lang="en-US" sz="2400" b="1" baseline="0">
                <a:solidFill>
                  <a:srgbClr val="FF0000"/>
                </a:solidFill>
              </a:rPr>
              <a:t> MONTH IS IT (AUS ONLY)?</a:t>
            </a:r>
          </a:p>
          <a:p>
            <a:endParaRPr lang="en-US" sz="1100" baseline="0"/>
          </a:p>
          <a:p>
            <a:endParaRPr lang="en-US" sz="1100"/>
          </a:p>
          <a:p>
            <a:endParaRPr lang="en-US" sz="1100"/>
          </a:p>
          <a:p>
            <a:endParaRPr lang="en-US" sz="1100"/>
          </a:p>
          <a:p>
            <a:endParaRPr lang="en-US" sz="1100"/>
          </a:p>
          <a:p>
            <a:endParaRPr lang="en-US" sz="1100"/>
          </a:p>
          <a:p>
            <a:endParaRPr lang="en-US" sz="1100"/>
          </a:p>
          <a:p>
            <a:r>
              <a:rPr lang="en-US" sz="1600" b="1" baseline="0"/>
              <a:t>       (0)                 (1)	          (1)                (1)                 (1)                 (0)</a:t>
            </a:r>
            <a:endParaRPr lang="en-US" sz="1600" b="1"/>
          </a:p>
        </xdr:txBody>
      </xdr:sp>
      <xdr:pic>
        <xdr:nvPicPr>
          <xdr:cNvPr id="15" name="Picture 14">
            <a:extLst>
              <a:ext uri="{FF2B5EF4-FFF2-40B4-BE49-F238E27FC236}">
                <a16:creationId xmlns:a16="http://schemas.microsoft.com/office/drawing/2014/main" id="{CE5CDA53-FAA0-D343-BF85-9367A90BAC15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30037" t="66288" r="5067"/>
          <a:stretch/>
        </xdr:blipFill>
        <xdr:spPr>
          <a:xfrm>
            <a:off x="7804728" y="5876629"/>
            <a:ext cx="2794000" cy="1027545"/>
          </a:xfrm>
          <a:prstGeom prst="rect">
            <a:avLst/>
          </a:prstGeom>
        </xdr:spPr>
      </xdr:pic>
      <xdr:pic>
        <xdr:nvPicPr>
          <xdr:cNvPr id="16" name="Picture 15">
            <a:extLst>
              <a:ext uri="{FF2B5EF4-FFF2-40B4-BE49-F238E27FC236}">
                <a16:creationId xmlns:a16="http://schemas.microsoft.com/office/drawing/2014/main" id="{B5E676F9-36C4-094C-8474-46B418172CC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/>
          <a:srcRect l="6650" t="4091" r="27112" b="65985"/>
          <a:stretch/>
        </xdr:blipFill>
        <xdr:spPr>
          <a:xfrm>
            <a:off x="10714179" y="5945905"/>
            <a:ext cx="2851729" cy="912091"/>
          </a:xfrm>
          <a:prstGeom prst="rect">
            <a:avLst/>
          </a:prstGeom>
        </xdr:spPr>
      </xdr:pic>
    </xdr:grpSp>
    <xdr:clientData/>
  </xdr:twoCellAnchor>
  <xdr:twoCellAnchor>
    <xdr:from>
      <xdr:col>7</xdr:col>
      <xdr:colOff>273845</xdr:colOff>
      <xdr:row>9</xdr:row>
      <xdr:rowOff>160732</xdr:rowOff>
    </xdr:from>
    <xdr:to>
      <xdr:col>15</xdr:col>
      <xdr:colOff>678657</xdr:colOff>
      <xdr:row>13</xdr:row>
      <xdr:rowOff>83343</xdr:rowOff>
    </xdr:to>
    <xdr:grpSp>
      <xdr:nvGrpSpPr>
        <xdr:cNvPr id="24" name="Group 23">
          <a:extLst>
            <a:ext uri="{FF2B5EF4-FFF2-40B4-BE49-F238E27FC236}">
              <a16:creationId xmlns:a16="http://schemas.microsoft.com/office/drawing/2014/main" id="{8545A0B3-B2CB-BF4B-9D29-8EC906AC8255}"/>
            </a:ext>
          </a:extLst>
        </xdr:cNvPr>
        <xdr:cNvGrpSpPr/>
      </xdr:nvGrpSpPr>
      <xdr:grpSpPr>
        <a:xfrm>
          <a:off x="7608095" y="160732"/>
          <a:ext cx="6910387" cy="1891904"/>
          <a:chOff x="7620000" y="380998"/>
          <a:chExt cx="6673273" cy="1847273"/>
        </a:xfrm>
      </xdr:grpSpPr>
      <xdr:sp macro="" textlink="">
        <xdr:nvSpPr>
          <xdr:cNvPr id="2" name="TextBox 1">
            <a:extLst>
              <a:ext uri="{FF2B5EF4-FFF2-40B4-BE49-F238E27FC236}">
                <a16:creationId xmlns:a16="http://schemas.microsoft.com/office/drawing/2014/main" id="{1C0424C2-3A0D-5F4F-AC37-81299263AC3B}"/>
              </a:ext>
            </a:extLst>
          </xdr:cNvPr>
          <xdr:cNvSpPr txBox="1"/>
        </xdr:nvSpPr>
        <xdr:spPr>
          <a:xfrm>
            <a:off x="7620000" y="380998"/>
            <a:ext cx="6673273" cy="1847273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2400" b="1">
                <a:solidFill>
                  <a:srgbClr val="FF0000"/>
                </a:solidFill>
              </a:rPr>
              <a:t>HOW SUNNY</a:t>
            </a:r>
            <a:r>
              <a:rPr lang="en-US" sz="2400" b="1" baseline="0">
                <a:solidFill>
                  <a:srgbClr val="FF0000"/>
                </a:solidFill>
              </a:rPr>
              <a:t> IS IT?</a:t>
            </a:r>
          </a:p>
          <a:p>
            <a:endParaRPr lang="en-US" sz="1100" baseline="0"/>
          </a:p>
          <a:p>
            <a:endParaRPr lang="en-US" sz="1100"/>
          </a:p>
          <a:p>
            <a:endParaRPr lang="en-US" sz="1100"/>
          </a:p>
          <a:p>
            <a:endParaRPr lang="en-US" sz="1100"/>
          </a:p>
          <a:p>
            <a:endParaRPr lang="en-US" sz="1100"/>
          </a:p>
          <a:p>
            <a:r>
              <a:rPr lang="en-US" sz="1400" b="1"/>
              <a:t>      Clear	</a:t>
            </a:r>
            <a:r>
              <a:rPr lang="en-US" sz="1400" b="1" baseline="0"/>
              <a:t>        Partly Cloudy             Mostly Cloudy              Overcast	       Night</a:t>
            </a:r>
          </a:p>
          <a:p>
            <a:r>
              <a:rPr lang="en-US" sz="1800" b="1" baseline="0"/>
              <a:t>      (4)	              (3)	      (2)	                 (1)	       (0)</a:t>
            </a:r>
            <a:endParaRPr lang="en-US" sz="1800" b="1"/>
          </a:p>
          <a:p>
            <a:endParaRPr lang="en-US" sz="1100"/>
          </a:p>
        </xdr:txBody>
      </xdr:sp>
      <xdr:pic>
        <xdr:nvPicPr>
          <xdr:cNvPr id="3" name="Picture 2">
            <a:extLst>
              <a:ext uri="{FF2B5EF4-FFF2-40B4-BE49-F238E27FC236}">
                <a16:creationId xmlns:a16="http://schemas.microsoft.com/office/drawing/2014/main" id="{5945C2CA-7367-D94B-992F-CB7BF55E943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7735455" y="888998"/>
            <a:ext cx="761999" cy="761999"/>
          </a:xfrm>
          <a:prstGeom prst="rect">
            <a:avLst/>
          </a:prstGeom>
          <a:ln>
            <a:noFill/>
          </a:ln>
        </xdr:spPr>
      </xdr:pic>
      <xdr:pic>
        <xdr:nvPicPr>
          <xdr:cNvPr id="5" name="Picture 4">
            <a:extLst>
              <a:ext uri="{FF2B5EF4-FFF2-40B4-BE49-F238E27FC236}">
                <a16:creationId xmlns:a16="http://schemas.microsoft.com/office/drawing/2014/main" id="{C12358F8-5DF7-5E41-A220-69A5FAB03ED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9074726" y="877452"/>
            <a:ext cx="785090" cy="750455"/>
          </a:xfrm>
          <a:prstGeom prst="rect">
            <a:avLst/>
          </a:prstGeom>
          <a:ln>
            <a:noFill/>
          </a:ln>
        </xdr:spPr>
      </xdr:pic>
      <xdr:pic>
        <xdr:nvPicPr>
          <xdr:cNvPr id="6" name="Picture 5">
            <a:extLst>
              <a:ext uri="{FF2B5EF4-FFF2-40B4-BE49-F238E27FC236}">
                <a16:creationId xmlns:a16="http://schemas.microsoft.com/office/drawing/2014/main" id="{888C5BF2-BCDE-3E48-A09F-C07F834F7B36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4"/>
          <a:srcRect b="10959"/>
          <a:stretch/>
        </xdr:blipFill>
        <xdr:spPr>
          <a:xfrm>
            <a:off x="10506360" y="809446"/>
            <a:ext cx="854364" cy="760735"/>
          </a:xfrm>
          <a:prstGeom prst="rect">
            <a:avLst/>
          </a:prstGeom>
          <a:ln>
            <a:noFill/>
          </a:ln>
        </xdr:spPr>
      </xdr:pic>
      <xdr:pic>
        <xdr:nvPicPr>
          <xdr:cNvPr id="7" name="Picture 6">
            <a:extLst>
              <a:ext uri="{FF2B5EF4-FFF2-40B4-BE49-F238E27FC236}">
                <a16:creationId xmlns:a16="http://schemas.microsoft.com/office/drawing/2014/main" id="{5271503C-2C8E-A443-8360-9B94953B9CFF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b="34659"/>
          <a:stretch/>
        </xdr:blipFill>
        <xdr:spPr>
          <a:xfrm>
            <a:off x="11972633" y="912090"/>
            <a:ext cx="812799" cy="531091"/>
          </a:xfrm>
          <a:prstGeom prst="rect">
            <a:avLst/>
          </a:prstGeom>
          <a:ln>
            <a:noFill/>
          </a:ln>
        </xdr:spPr>
      </xdr:pic>
      <xdr:pic>
        <xdr:nvPicPr>
          <xdr:cNvPr id="23" name="Picture 22">
            <a:extLst>
              <a:ext uri="{FF2B5EF4-FFF2-40B4-BE49-F238E27FC236}">
                <a16:creationId xmlns:a16="http://schemas.microsoft.com/office/drawing/2014/main" id="{F57D674B-8E6A-B34C-8CE2-EACF307C4CF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13346548" y="877455"/>
            <a:ext cx="711198" cy="71119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G44"/>
  <sheetViews>
    <sheetView tabSelected="1" topLeftCell="E10" zoomScale="80" zoomScaleNormal="80" workbookViewId="0">
      <selection activeCell="E13" sqref="E13"/>
    </sheetView>
  </sheetViews>
  <sheetFormatPr defaultColWidth="11" defaultRowHeight="15.75"/>
  <cols>
    <col min="1" max="1" width="43.5" hidden="1" customWidth="1"/>
    <col min="2" max="2" width="20.5" hidden="1" customWidth="1"/>
    <col min="3" max="3" width="29.1875" hidden="1" customWidth="1"/>
    <col min="4" max="4" width="28.3125" hidden="1" customWidth="1"/>
    <col min="5" max="5" width="29" customWidth="1"/>
    <col min="6" max="6" width="35.3125" customWidth="1"/>
    <col min="7" max="7" width="31.8125" customWidth="1"/>
    <col min="8" max="8" width="4" style="1" customWidth="1"/>
    <col min="9" max="9" width="17.3125" customWidth="1"/>
    <col min="10" max="11" width="11" bestFit="1" customWidth="1"/>
    <col min="12" max="12" width="9.1875" customWidth="1"/>
    <col min="13" max="39" width="11" bestFit="1" customWidth="1"/>
    <col min="40" max="40" width="13.5" bestFit="1" customWidth="1"/>
    <col min="41" max="57" width="11" bestFit="1" customWidth="1"/>
    <col min="58" max="58" width="15.1875" customWidth="1"/>
    <col min="59" max="59" width="15.8125" customWidth="1"/>
    <col min="60" max="68" width="11" bestFit="1" customWidth="1"/>
  </cols>
  <sheetData>
    <row r="1" spans="1:23" s="2" customFormat="1" ht="14.65" hidden="1" thickBot="1">
      <c r="A1" s="2" t="s">
        <v>0</v>
      </c>
      <c r="D1" s="98"/>
      <c r="E1" s="99"/>
      <c r="F1" s="99"/>
      <c r="G1" s="100"/>
      <c r="H1" s="123"/>
    </row>
    <row r="2" spans="1:23" s="4" customFormat="1" ht="16.149999999999999" hidden="1" thickBot="1">
      <c r="A2" s="3" t="s">
        <v>1</v>
      </c>
      <c r="D2" s="101"/>
      <c r="E2" s="5"/>
      <c r="F2" s="5"/>
      <c r="G2" s="102"/>
      <c r="H2" s="12"/>
      <c r="W2" s="5"/>
    </row>
    <row r="3" spans="1:23" s="4" customFormat="1" ht="16.149999999999999" hidden="1" thickBot="1">
      <c r="A3" t="s">
        <v>2</v>
      </c>
      <c r="D3" s="101"/>
      <c r="E3" s="5"/>
      <c r="F3" s="5"/>
      <c r="G3" s="102"/>
      <c r="H3" s="12"/>
      <c r="W3" s="5"/>
    </row>
    <row r="4" spans="1:23" s="4" customFormat="1" ht="16.149999999999999" hidden="1" thickBot="1">
      <c r="A4" s="6" t="s">
        <v>3</v>
      </c>
      <c r="D4" s="101"/>
      <c r="E4" s="5"/>
      <c r="F4" s="5"/>
      <c r="G4" s="102"/>
      <c r="H4" s="12"/>
      <c r="W4" s="5"/>
    </row>
    <row r="5" spans="1:23" s="4" customFormat="1" ht="16.149999999999999" hidden="1" thickBot="1">
      <c r="A5" s="6" t="s">
        <v>4</v>
      </c>
      <c r="D5" s="101"/>
      <c r="E5" s="5"/>
      <c r="F5" s="5"/>
      <c r="G5" s="102"/>
      <c r="H5" s="12"/>
      <c r="W5" s="5"/>
    </row>
    <row r="6" spans="1:23" s="4" customFormat="1" ht="16.149999999999999" hidden="1" thickBot="1">
      <c r="A6" s="6" t="s">
        <v>5</v>
      </c>
      <c r="D6" s="101"/>
      <c r="E6" s="5"/>
      <c r="F6" s="103"/>
      <c r="G6" s="102"/>
      <c r="H6" s="12"/>
      <c r="W6" s="5"/>
    </row>
    <row r="7" spans="1:23" s="4" customFormat="1" ht="16.149999999999999" hidden="1" thickBot="1">
      <c r="A7" s="6"/>
      <c r="D7" s="101"/>
      <c r="E7" s="5"/>
      <c r="F7" s="103"/>
      <c r="G7" s="102"/>
      <c r="H7" s="12"/>
      <c r="W7" s="5"/>
    </row>
    <row r="8" spans="1:23" s="4" customFormat="1" ht="16.149999999999999" hidden="1" thickBot="1">
      <c r="A8" s="6"/>
      <c r="D8" s="101"/>
      <c r="E8" s="5"/>
      <c r="F8" s="103"/>
      <c r="G8" s="102"/>
      <c r="H8" s="12"/>
      <c r="W8" s="5"/>
    </row>
    <row r="9" spans="1:23" s="4" customFormat="1" ht="16.149999999999999" hidden="1" thickBot="1">
      <c r="A9" s="6"/>
      <c r="D9" s="101"/>
      <c r="E9" s="5"/>
      <c r="F9" s="103"/>
      <c r="G9" s="102"/>
      <c r="H9" s="12"/>
      <c r="W9" s="5"/>
    </row>
    <row r="10" spans="1:23" s="4" customFormat="1" ht="30">
      <c r="A10" s="6"/>
      <c r="D10" s="142" t="s">
        <v>93</v>
      </c>
      <c r="E10" s="143"/>
      <c r="F10" s="143"/>
      <c r="G10" s="144"/>
      <c r="H10" s="124"/>
      <c r="W10" s="5"/>
    </row>
    <row r="11" spans="1:23" s="4" customFormat="1" ht="30">
      <c r="A11" s="6"/>
      <c r="E11" s="90" t="s">
        <v>45</v>
      </c>
      <c r="F11" s="91" t="s">
        <v>94</v>
      </c>
      <c r="G11" s="92" t="s">
        <v>90</v>
      </c>
      <c r="H11" s="124"/>
      <c r="W11" s="5"/>
    </row>
    <row r="12" spans="1:23" s="4" customFormat="1" ht="34.9" thickBot="1">
      <c r="A12" s="6"/>
      <c r="E12" s="90" t="s">
        <v>97</v>
      </c>
      <c r="F12" s="91" t="s">
        <v>15</v>
      </c>
      <c r="G12" s="92" t="s">
        <v>98</v>
      </c>
      <c r="H12" s="124"/>
      <c r="W12" s="5"/>
    </row>
    <row r="13" spans="1:23" s="4" customFormat="1" ht="59" customHeight="1" thickTop="1" thickBot="1">
      <c r="A13" s="6"/>
      <c r="E13" s="134">
        <v>34</v>
      </c>
      <c r="F13" s="96">
        <v>50</v>
      </c>
      <c r="G13" s="97">
        <v>20.399999999999999</v>
      </c>
      <c r="H13" s="125"/>
      <c r="W13" s="5"/>
    </row>
    <row r="14" spans="1:23" s="4" customFormat="1" ht="18" customHeight="1" thickTop="1" thickBot="1">
      <c r="A14" s="13"/>
      <c r="E14" s="109"/>
      <c r="F14" s="109"/>
      <c r="G14" s="109"/>
      <c r="H14" s="11"/>
      <c r="W14" s="5"/>
    </row>
    <row r="15" spans="1:23" s="4" customFormat="1" ht="49.05" customHeight="1" thickBot="1">
      <c r="A15" s="13"/>
      <c r="D15" s="93"/>
      <c r="E15" s="145" t="s">
        <v>95</v>
      </c>
      <c r="F15" s="145"/>
      <c r="G15" s="145"/>
      <c r="H15" s="126"/>
      <c r="I15" s="147" t="s">
        <v>105</v>
      </c>
      <c r="J15" s="147"/>
      <c r="K15" s="148"/>
      <c r="L15" s="133">
        <v>2</v>
      </c>
      <c r="W15" s="5"/>
    </row>
    <row r="16" spans="1:23" s="4" customFormat="1" ht="49.05" customHeight="1">
      <c r="A16" s="13"/>
      <c r="D16" s="95"/>
      <c r="E16" s="146">
        <f>IF((F41+G41+F39)&gt;10.01,"&gt;10",(F41+G41+F39))</f>
        <v>5.269150234769473</v>
      </c>
      <c r="F16" s="146"/>
      <c r="G16" s="146"/>
      <c r="H16" s="127"/>
      <c r="W16" s="5"/>
    </row>
    <row r="17" spans="1:59" s="4" customFormat="1" ht="14" customHeight="1" thickBot="1">
      <c r="A17" s="13"/>
      <c r="B17" s="14"/>
      <c r="C17" s="14"/>
      <c r="D17" s="104"/>
      <c r="E17" s="105"/>
      <c r="F17" s="105"/>
      <c r="G17" s="106"/>
      <c r="H17" s="12"/>
      <c r="W17" s="5"/>
    </row>
    <row r="18" spans="1:59" s="11" customFormat="1" ht="51" customHeight="1">
      <c r="E18" s="110" t="s">
        <v>101</v>
      </c>
      <c r="F18" s="111"/>
      <c r="G18" s="112"/>
      <c r="H18" s="128"/>
      <c r="M18" s="19"/>
      <c r="N18" s="19"/>
      <c r="W18" s="12"/>
    </row>
    <row r="19" spans="1:59" s="11" customFormat="1" ht="51" customHeight="1">
      <c r="E19" s="113" t="s">
        <v>102</v>
      </c>
      <c r="F19" s="114"/>
      <c r="G19" s="115"/>
      <c r="H19" s="128"/>
      <c r="M19" s="19"/>
      <c r="N19" s="19"/>
      <c r="W19" s="12"/>
    </row>
    <row r="20" spans="1:59" s="11" customFormat="1" ht="51" customHeight="1" thickBot="1">
      <c r="E20" s="116" t="s">
        <v>100</v>
      </c>
      <c r="F20" s="117"/>
      <c r="G20" s="118"/>
      <c r="H20" s="128"/>
      <c r="I20" s="149"/>
      <c r="J20" s="149"/>
      <c r="K20" s="149"/>
      <c r="L20" s="12"/>
      <c r="W20" s="12"/>
    </row>
    <row r="21" spans="1:59" s="11" customFormat="1" ht="51" customHeight="1" thickBot="1">
      <c r="E21" s="119" t="s">
        <v>99</v>
      </c>
      <c r="F21" s="120"/>
      <c r="G21" s="121"/>
      <c r="H21" s="129"/>
      <c r="I21" s="150" t="s">
        <v>103</v>
      </c>
      <c r="J21" s="150"/>
      <c r="K21" s="150"/>
      <c r="L21" s="133">
        <v>1</v>
      </c>
      <c r="W21" s="12"/>
    </row>
    <row r="22" spans="1:59" s="11" customFormat="1" ht="17" customHeight="1">
      <c r="J22" s="89"/>
      <c r="K22" s="89"/>
      <c r="W22" s="12"/>
    </row>
    <row r="24" spans="1:59" s="11" customFormat="1" ht="15" hidden="1" customHeight="1">
      <c r="A24" s="9"/>
      <c r="B24" s="20"/>
      <c r="C24" s="16"/>
      <c r="D24" s="17"/>
      <c r="E24" s="10"/>
      <c r="G24" s="19"/>
      <c r="H24" s="19"/>
      <c r="I24" s="19"/>
      <c r="J24" s="18"/>
      <c r="K24" s="18"/>
      <c r="L24" s="19"/>
      <c r="M24" s="19"/>
      <c r="N24" s="19"/>
      <c r="W24" s="12"/>
    </row>
    <row r="25" spans="1:59" s="11" customFormat="1" ht="46.15" hidden="1">
      <c r="A25" s="9"/>
      <c r="B25" s="20"/>
      <c r="C25" s="16"/>
      <c r="D25" s="17"/>
      <c r="E25" s="10"/>
      <c r="F25" s="21"/>
      <c r="G25" s="22"/>
      <c r="H25" s="22"/>
      <c r="I25" s="22"/>
      <c r="J25" s="23"/>
      <c r="K25" s="23"/>
      <c r="L25" s="22"/>
      <c r="M25" s="22"/>
      <c r="N25" s="22"/>
      <c r="O25" s="22"/>
      <c r="P25" s="22"/>
      <c r="Q25" s="22"/>
      <c r="R25" s="22"/>
      <c r="W25" s="12"/>
    </row>
    <row r="26" spans="1:59" s="4" customFormat="1" ht="36" hidden="1">
      <c r="A26" s="6"/>
      <c r="F26" s="21"/>
      <c r="G26" s="24"/>
      <c r="H26" s="22"/>
      <c r="I26" s="24"/>
      <c r="J26" s="24"/>
      <c r="K26" s="24"/>
      <c r="L26" s="24"/>
      <c r="M26" s="24"/>
      <c r="N26" s="24"/>
      <c r="O26" s="24"/>
      <c r="P26" s="24"/>
      <c r="Q26" s="24"/>
      <c r="R26" s="24"/>
      <c r="W26" s="5"/>
    </row>
    <row r="27" spans="1:59" s="4" customFormat="1" hidden="1">
      <c r="A27" s="6"/>
      <c r="F27" s="6"/>
      <c r="H27" s="11"/>
      <c r="M27" s="5"/>
      <c r="N27" s="5"/>
      <c r="W27" s="5"/>
    </row>
    <row r="28" spans="1:59" s="4" customFormat="1" hidden="1">
      <c r="A28" s="6"/>
      <c r="F28" s="6"/>
      <c r="H28" s="11"/>
      <c r="M28" s="5"/>
      <c r="N28" s="5"/>
      <c r="W28" s="5"/>
    </row>
    <row r="29" spans="1:59" s="26" customFormat="1" ht="21" hidden="1">
      <c r="B29" s="27" t="s">
        <v>6</v>
      </c>
      <c r="C29" s="28"/>
      <c r="D29" s="28"/>
      <c r="E29" s="28"/>
      <c r="F29" s="74"/>
      <c r="G29" s="85"/>
      <c r="H29" s="130"/>
      <c r="I29" s="28"/>
      <c r="J29" s="28"/>
      <c r="K29" s="28"/>
      <c r="L29" s="28"/>
      <c r="M29" s="29"/>
      <c r="N29" s="29"/>
      <c r="O29" s="28"/>
      <c r="P29" s="28"/>
      <c r="Q29" s="28"/>
      <c r="R29" s="28"/>
      <c r="S29" s="28"/>
      <c r="T29" s="28"/>
      <c r="U29" s="28"/>
      <c r="V29" s="28"/>
      <c r="W29" s="30"/>
      <c r="X29" s="136" t="s">
        <v>7</v>
      </c>
      <c r="Y29" s="137"/>
      <c r="Z29" s="137"/>
      <c r="AA29" s="137"/>
      <c r="AB29" s="137"/>
      <c r="AC29" s="137"/>
      <c r="AD29" s="138"/>
      <c r="AE29" s="136" t="s">
        <v>8</v>
      </c>
      <c r="AF29" s="137"/>
      <c r="AG29" s="137"/>
      <c r="AH29" s="137"/>
      <c r="AI29" s="136" t="s">
        <v>9</v>
      </c>
      <c r="AJ29" s="137"/>
      <c r="AK29" s="137"/>
      <c r="AL29" s="137"/>
      <c r="AM29" s="137"/>
      <c r="AN29" s="137"/>
      <c r="AO29" s="137"/>
      <c r="AP29" s="137"/>
      <c r="AQ29" s="138"/>
      <c r="AR29" s="136" t="s">
        <v>10</v>
      </c>
      <c r="AS29" s="137"/>
      <c r="AT29" s="137"/>
      <c r="AU29" s="137"/>
      <c r="AV29" s="137"/>
      <c r="AW29" s="137"/>
      <c r="AX29" s="137"/>
      <c r="AY29" s="137"/>
      <c r="AZ29" s="137"/>
      <c r="BA29" s="138"/>
      <c r="BB29" s="136" t="s">
        <v>11</v>
      </c>
      <c r="BC29" s="137"/>
      <c r="BD29" s="137"/>
      <c r="BE29" s="31"/>
      <c r="BF29" s="136" t="s">
        <v>12</v>
      </c>
      <c r="BG29" s="138"/>
    </row>
    <row r="30" spans="1:59" s="26" customFormat="1" ht="24" hidden="1">
      <c r="A30" s="32" t="s">
        <v>13</v>
      </c>
      <c r="B30" s="33" t="s">
        <v>14</v>
      </c>
      <c r="C30" s="33" t="s">
        <v>14</v>
      </c>
      <c r="D30" s="33" t="s">
        <v>15</v>
      </c>
      <c r="E30" s="33" t="s">
        <v>46</v>
      </c>
      <c r="F30" s="86" t="s">
        <v>16</v>
      </c>
      <c r="G30" s="86" t="s">
        <v>17</v>
      </c>
      <c r="H30" s="38"/>
      <c r="I30" s="33" t="s">
        <v>14</v>
      </c>
      <c r="J30" s="33" t="s">
        <v>18</v>
      </c>
      <c r="K30" s="33" t="s">
        <v>46</v>
      </c>
      <c r="L30" s="80" t="s">
        <v>46</v>
      </c>
      <c r="M30" s="80" t="s">
        <v>47</v>
      </c>
      <c r="N30" s="33" t="s">
        <v>48</v>
      </c>
      <c r="O30" s="34"/>
      <c r="P30" s="33" t="s">
        <v>14</v>
      </c>
      <c r="Q30" s="33" t="s">
        <v>14</v>
      </c>
      <c r="R30" s="33" t="s">
        <v>19</v>
      </c>
      <c r="S30" s="33" t="s">
        <v>19</v>
      </c>
      <c r="T30" s="38" t="s">
        <v>20</v>
      </c>
      <c r="U30" s="36" t="s">
        <v>49</v>
      </c>
      <c r="V30" s="35" t="s">
        <v>50</v>
      </c>
      <c r="W30" s="36" t="s">
        <v>51</v>
      </c>
      <c r="X30" s="37" t="s">
        <v>21</v>
      </c>
      <c r="Y30" s="38" t="s">
        <v>18</v>
      </c>
      <c r="Z30" s="39" t="s">
        <v>22</v>
      </c>
      <c r="AA30" s="39" t="s">
        <v>18</v>
      </c>
      <c r="AB30" s="39" t="s">
        <v>22</v>
      </c>
      <c r="AC30" s="39" t="s">
        <v>52</v>
      </c>
      <c r="AD30" s="40" t="s">
        <v>53</v>
      </c>
      <c r="AE30" s="41" t="s">
        <v>23</v>
      </c>
      <c r="AF30" s="42" t="s">
        <v>54</v>
      </c>
      <c r="AG30" s="41" t="s">
        <v>23</v>
      </c>
      <c r="AH30" s="42" t="s">
        <v>54</v>
      </c>
      <c r="AI30" s="37" t="s">
        <v>19</v>
      </c>
      <c r="AJ30" s="39" t="s">
        <v>55</v>
      </c>
      <c r="AK30" s="39" t="s">
        <v>55</v>
      </c>
      <c r="AL30" s="39" t="s">
        <v>55</v>
      </c>
      <c r="AM30" s="39" t="s">
        <v>14</v>
      </c>
      <c r="AN30" s="39" t="s">
        <v>56</v>
      </c>
      <c r="AO30" s="40" t="s">
        <v>57</v>
      </c>
      <c r="AP30" s="41" t="s">
        <v>23</v>
      </c>
      <c r="AQ30" s="43" t="s">
        <v>54</v>
      </c>
      <c r="AR30" s="37" t="s">
        <v>18</v>
      </c>
      <c r="AS30" s="39" t="s">
        <v>58</v>
      </c>
      <c r="AT30" s="39" t="s">
        <v>59</v>
      </c>
      <c r="AU30" s="39" t="s">
        <v>60</v>
      </c>
      <c r="AV30" s="41" t="s">
        <v>23</v>
      </c>
      <c r="AW30" s="42" t="s">
        <v>23</v>
      </c>
      <c r="AX30" s="42" t="s">
        <v>54</v>
      </c>
      <c r="AY30" s="42" t="s">
        <v>54</v>
      </c>
      <c r="AZ30" s="43" t="s">
        <v>19</v>
      </c>
      <c r="BA30" s="44" t="s">
        <v>15</v>
      </c>
      <c r="BB30" s="41" t="s">
        <v>19</v>
      </c>
      <c r="BC30" s="42" t="s">
        <v>54</v>
      </c>
      <c r="BD30" s="45" t="s">
        <v>61</v>
      </c>
      <c r="BE30" s="45"/>
      <c r="BF30" s="41" t="s">
        <v>23</v>
      </c>
      <c r="BG30" s="43" t="s">
        <v>54</v>
      </c>
    </row>
    <row r="31" spans="1:59" s="26" customFormat="1" ht="24" hidden="1">
      <c r="A31" s="46" t="s">
        <v>24</v>
      </c>
      <c r="B31" s="47" t="s">
        <v>45</v>
      </c>
      <c r="C31" s="47" t="s">
        <v>44</v>
      </c>
      <c r="D31" s="47" t="s">
        <v>42</v>
      </c>
      <c r="E31" s="47" t="s">
        <v>43</v>
      </c>
      <c r="F31" s="86" t="s">
        <v>17</v>
      </c>
      <c r="G31" s="86" t="s">
        <v>25</v>
      </c>
      <c r="H31" s="51"/>
      <c r="I31" s="47" t="s">
        <v>62</v>
      </c>
      <c r="J31" s="47" t="s">
        <v>63</v>
      </c>
      <c r="K31" s="47" t="s">
        <v>26</v>
      </c>
      <c r="L31" s="81" t="s">
        <v>27</v>
      </c>
      <c r="M31" s="81" t="s">
        <v>64</v>
      </c>
      <c r="N31" s="47" t="s">
        <v>64</v>
      </c>
      <c r="O31" s="48" t="s">
        <v>28</v>
      </c>
      <c r="P31" s="47" t="s">
        <v>65</v>
      </c>
      <c r="Q31" s="47" t="s">
        <v>66</v>
      </c>
      <c r="R31" s="47" t="s">
        <v>29</v>
      </c>
      <c r="S31" s="47" t="s">
        <v>67</v>
      </c>
      <c r="T31" s="51" t="s">
        <v>68</v>
      </c>
      <c r="U31" s="50" t="s">
        <v>69</v>
      </c>
      <c r="V31" s="49" t="s">
        <v>70</v>
      </c>
      <c r="W31" s="50" t="s">
        <v>71</v>
      </c>
      <c r="X31" s="51" t="s">
        <v>72</v>
      </c>
      <c r="Y31" s="52" t="s">
        <v>73</v>
      </c>
      <c r="Z31" s="52" t="s">
        <v>73</v>
      </c>
      <c r="AA31" s="52" t="s">
        <v>74</v>
      </c>
      <c r="AB31" s="51" t="s">
        <v>63</v>
      </c>
      <c r="AC31" s="51" t="s">
        <v>30</v>
      </c>
      <c r="AD31" s="50" t="s">
        <v>31</v>
      </c>
      <c r="AE31" s="139" t="s">
        <v>32</v>
      </c>
      <c r="AF31" s="140"/>
      <c r="AG31" s="139" t="s">
        <v>33</v>
      </c>
      <c r="AH31" s="140"/>
      <c r="AI31" s="53" t="s">
        <v>75</v>
      </c>
      <c r="AJ31" s="54" t="s">
        <v>76</v>
      </c>
      <c r="AK31" s="54" t="s">
        <v>77</v>
      </c>
      <c r="AL31" s="54" t="s">
        <v>34</v>
      </c>
      <c r="AM31" s="54" t="s">
        <v>78</v>
      </c>
      <c r="AN31" s="54" t="s">
        <v>35</v>
      </c>
      <c r="AO31" s="55" t="s">
        <v>79</v>
      </c>
      <c r="AP31" s="139" t="s">
        <v>36</v>
      </c>
      <c r="AQ31" s="141"/>
      <c r="AR31" s="56" t="s">
        <v>80</v>
      </c>
      <c r="AS31" s="52" t="s">
        <v>81</v>
      </c>
      <c r="AT31" s="52" t="s">
        <v>37</v>
      </c>
      <c r="AU31" s="52" t="s">
        <v>38</v>
      </c>
      <c r="AV31" s="57" t="s">
        <v>82</v>
      </c>
      <c r="AW31" s="58" t="s">
        <v>83</v>
      </c>
      <c r="AX31" s="58" t="s">
        <v>82</v>
      </c>
      <c r="AY31" s="58" t="s">
        <v>83</v>
      </c>
      <c r="AZ31" s="59" t="s">
        <v>84</v>
      </c>
      <c r="BA31" s="60" t="s">
        <v>39</v>
      </c>
      <c r="BB31" s="57" t="s">
        <v>40</v>
      </c>
      <c r="BC31" s="58" t="s">
        <v>85</v>
      </c>
      <c r="BD31" s="61" t="s">
        <v>85</v>
      </c>
      <c r="BE31" s="61" t="s">
        <v>41</v>
      </c>
      <c r="BF31" s="57" t="s">
        <v>86</v>
      </c>
      <c r="BG31" s="59" t="s">
        <v>86</v>
      </c>
    </row>
    <row r="32" spans="1:59" s="79" customFormat="1" ht="21" hidden="1">
      <c r="A32" s="62" t="s">
        <v>87</v>
      </c>
      <c r="B32" s="63">
        <f>E13</f>
        <v>34</v>
      </c>
      <c r="C32" s="63">
        <f>E41</f>
        <v>43</v>
      </c>
      <c r="D32" s="63">
        <f>F13</f>
        <v>50</v>
      </c>
      <c r="E32" s="64">
        <f>I41</f>
        <v>5.666666666666667</v>
      </c>
      <c r="F32" s="83">
        <v>80</v>
      </c>
      <c r="G32" s="84">
        <v>1.8</v>
      </c>
      <c r="H32" s="122"/>
      <c r="I32" s="65">
        <f>((((C32+273)^4)+(2.5*(10^8)*(E32^0.6)*(C32-B32)))^0.25)-273</f>
        <v>84.540293006344996</v>
      </c>
      <c r="J32" s="66">
        <v>101.9</v>
      </c>
      <c r="K32" s="67">
        <f>L32+E32</f>
        <v>5.9666666666666668</v>
      </c>
      <c r="L32" s="87">
        <v>0.3</v>
      </c>
      <c r="M32" s="82">
        <v>12.6</v>
      </c>
      <c r="N32" s="68">
        <f>M32*F32/1000</f>
        <v>1.008</v>
      </c>
      <c r="O32" s="69">
        <v>0.8</v>
      </c>
      <c r="P32" s="69">
        <f>Q32</f>
        <v>36</v>
      </c>
      <c r="Q32" s="69">
        <v>36</v>
      </c>
      <c r="R32" s="69">
        <v>0.95</v>
      </c>
      <c r="S32" s="69">
        <v>0.35</v>
      </c>
      <c r="T32" s="69">
        <v>1.03</v>
      </c>
      <c r="U32" s="70">
        <v>2.3E-2</v>
      </c>
      <c r="V32" s="71">
        <f>0.202*(POWER(F32,0.425)*(POWER(G32,0.725)))</f>
        <v>1.9917607971689137</v>
      </c>
      <c r="W32" s="72">
        <f>V32*10000/F32</f>
        <v>248.97009964611419</v>
      </c>
      <c r="X32" s="71">
        <f>B32+273.15</f>
        <v>307.14999999999998</v>
      </c>
      <c r="Y32" s="69">
        <f>AA32*D32/100</f>
        <v>2.6596271453811129</v>
      </c>
      <c r="Z32" s="71">
        <f>Y32*7.5</f>
        <v>19.947203590358345</v>
      </c>
      <c r="AA32" s="71">
        <f>(EXP(18.956-(4030.18/(B32+235))))/10</f>
        <v>5.3192542907622258</v>
      </c>
      <c r="AB32" s="69">
        <f>J32*7.5</f>
        <v>764.25</v>
      </c>
      <c r="AC32" s="73">
        <f>2.17*(Y32/(B32+273.15))</f>
        <v>1.8790138061133044E-2</v>
      </c>
      <c r="AD32" s="71">
        <f>K32*3.6</f>
        <v>21.48</v>
      </c>
      <c r="AE32" s="72">
        <f>IF(O32&lt;1,N32*((0.23*O32)+0.77)*5.88*60,N32*5.88*60)</f>
        <v>339.26376959999999</v>
      </c>
      <c r="AF32" s="72">
        <f>AE32/V32</f>
        <v>170.33359130384989</v>
      </c>
      <c r="AG32" s="72">
        <f>AE32</f>
        <v>339.26376959999999</v>
      </c>
      <c r="AH32" s="72">
        <f>AG32/V32</f>
        <v>170.33359130384989</v>
      </c>
      <c r="AI32" s="74">
        <f>1+(0.31*T32)</f>
        <v>1.3193000000000001</v>
      </c>
      <c r="AJ32" s="75">
        <f>IF(K32&lt;0.2,3.16006,(0.7*8.3*POWER(K32,0.6)))</f>
        <v>16.967396087533956</v>
      </c>
      <c r="AK32" s="75">
        <f>4*R32*AN32*S32*(POWER(273.2+((P32+I32)/2),3))</f>
        <v>2.7964404843746542</v>
      </c>
      <c r="AL32" s="75">
        <f>AK32+AJ32</f>
        <v>19.763836571908609</v>
      </c>
      <c r="AM32" s="71">
        <f>((AK32*I32)+(AJ32*B32))/(AK32+AJ32)</f>
        <v>41.151087337768438</v>
      </c>
      <c r="AN32" s="74">
        <f>(POWER(10,-8))*5.67</f>
        <v>5.6699999999999998E-8</v>
      </c>
      <c r="AO32" s="70">
        <f>0.155*T32</f>
        <v>0.15965000000000001</v>
      </c>
      <c r="AP32" s="72">
        <f>AQ32*V32</f>
        <v>-51.816379562811484</v>
      </c>
      <c r="AQ32" s="72">
        <f>(Q32-AM32)/(AO32+(1/(AI32*AL32)))</f>
        <v>-26.015362706437049</v>
      </c>
      <c r="AR32" s="71">
        <f>(EXP(18.956-(4030.18/(Q32+235))))/10</f>
        <v>5.9411456899778399</v>
      </c>
      <c r="AS32" s="72">
        <f>AT32*AJ32</f>
        <v>279.96203544431029</v>
      </c>
      <c r="AT32" s="74">
        <v>16.5</v>
      </c>
      <c r="AU32" s="74">
        <v>2427</v>
      </c>
      <c r="AV32" s="72">
        <f>AX32*V32</f>
        <v>372.26002132874714</v>
      </c>
      <c r="AW32" s="72">
        <f>AY32*V32</f>
        <v>216.10872478725088</v>
      </c>
      <c r="AX32" s="72">
        <f>AH32-AQ32-BG32</f>
        <v>186.89996402071827</v>
      </c>
      <c r="AY32" s="72">
        <f>0.85*(AR32-Y32)/(U32+(1/(AI32*AS32)))</f>
        <v>108.50134468678546</v>
      </c>
      <c r="AZ32" s="71">
        <f>AX32/AY32</f>
        <v>1.7225589651469186</v>
      </c>
      <c r="BA32" s="76">
        <f>AZ32*100</f>
        <v>172.25589651469187</v>
      </c>
      <c r="BB32" s="71">
        <f>IF(AZ32&lt;1,1-(POWER(AZ32,2)/2),0.5)</f>
        <v>0.5</v>
      </c>
      <c r="BC32" s="72">
        <f>(AX32/BB32)</f>
        <v>373.79992804143654</v>
      </c>
      <c r="BD32" s="77">
        <f>BC32*V32*3600/AU32</f>
        <v>1104.3560583300286</v>
      </c>
      <c r="BE32" s="77">
        <f>IF(BD32&gt;2201,2200, BD32)</f>
        <v>1104.3560583300286</v>
      </c>
      <c r="BF32" s="78">
        <f>BG32*V32</f>
        <v>18.820127834064401</v>
      </c>
      <c r="BG32" s="78">
        <f>(0.0014*AH32*(34-B32))+(0.0173*AH32*(5.86618428-Y32))</f>
        <v>9.4489899895686804</v>
      </c>
    </row>
    <row r="33" spans="1:59" s="79" customFormat="1" ht="21" hidden="1">
      <c r="A33" s="62" t="s">
        <v>88</v>
      </c>
      <c r="B33" s="63">
        <f>E13</f>
        <v>34</v>
      </c>
      <c r="C33" s="63">
        <f>E41</f>
        <v>43</v>
      </c>
      <c r="D33" s="63">
        <f>F13</f>
        <v>50</v>
      </c>
      <c r="E33" s="64">
        <f>I41</f>
        <v>5.666666666666667</v>
      </c>
      <c r="F33" s="83">
        <v>90</v>
      </c>
      <c r="G33" s="84">
        <v>1.95</v>
      </c>
      <c r="H33" s="122"/>
      <c r="I33" s="65">
        <f>((((C33+273)^4)+(2.5*(10^8)*(E33^0.6)*(C33-B33)))^0.25)-273</f>
        <v>84.540293006344996</v>
      </c>
      <c r="J33" s="66">
        <v>101.9</v>
      </c>
      <c r="K33" s="67">
        <f>L33+E33</f>
        <v>7.666666666666667</v>
      </c>
      <c r="L33" s="88">
        <v>2</v>
      </c>
      <c r="M33" s="82">
        <v>12.6</v>
      </c>
      <c r="N33" s="68">
        <f>M33*F33/1000</f>
        <v>1.1339999999999999</v>
      </c>
      <c r="O33" s="69">
        <v>0.8</v>
      </c>
      <c r="P33" s="69">
        <f>Q33</f>
        <v>36</v>
      </c>
      <c r="Q33" s="69">
        <v>36</v>
      </c>
      <c r="R33" s="69">
        <v>0.95</v>
      </c>
      <c r="S33" s="69">
        <v>0.35</v>
      </c>
      <c r="T33" s="69">
        <v>0.9</v>
      </c>
      <c r="U33" s="70">
        <v>2.1000000000000001E-2</v>
      </c>
      <c r="V33" s="71">
        <f>0.202*(POWER(F33,0.425)*(POWER(G33,0.725)))</f>
        <v>2.2191135701641684</v>
      </c>
      <c r="W33" s="72">
        <f>V33*10000/F33</f>
        <v>246.56817446268539</v>
      </c>
      <c r="X33" s="71">
        <f>B33+273.15</f>
        <v>307.14999999999998</v>
      </c>
      <c r="Y33" s="69">
        <f>AA33*D33/100</f>
        <v>2.6596271453811129</v>
      </c>
      <c r="Z33" s="71">
        <f>Y33*7.5</f>
        <v>19.947203590358345</v>
      </c>
      <c r="AA33" s="71">
        <f>(EXP(18.956-(4030.18/(B33+235))))/10</f>
        <v>5.3192542907622258</v>
      </c>
      <c r="AB33" s="69">
        <f>J33*7.5</f>
        <v>764.25</v>
      </c>
      <c r="AC33" s="73">
        <f>2.17*(Y33/(B33+273.15))</f>
        <v>1.8790138061133044E-2</v>
      </c>
      <c r="AD33" s="71">
        <f>K33*3.6</f>
        <v>27.6</v>
      </c>
      <c r="AE33" s="72">
        <f>IF(O33&lt;1,N33*((0.23*O33)+0.77)*5.88*60,N33*5.88*60)</f>
        <v>381.67174080000001</v>
      </c>
      <c r="AF33" s="72">
        <f>AE33/V33</f>
        <v>171.99288307347163</v>
      </c>
      <c r="AG33" s="72">
        <f>AE33</f>
        <v>381.67174080000001</v>
      </c>
      <c r="AH33" s="72">
        <f>AG33/V33</f>
        <v>171.99288307347163</v>
      </c>
      <c r="AI33" s="74">
        <f>1+(0.31*T33)</f>
        <v>1.2789999999999999</v>
      </c>
      <c r="AJ33" s="75">
        <f>IF(K33&lt;0.2,3.16006,(0.7*8.3*POWER(K33,0.6)))</f>
        <v>19.721506232587046</v>
      </c>
      <c r="AK33" s="75">
        <f>4*R33*AN33*S33*(POWER(273.2+((P33+I33)/2),3))</f>
        <v>2.7964404843746542</v>
      </c>
      <c r="AL33" s="75">
        <f>AK33+AJ33</f>
        <v>22.517946716961699</v>
      </c>
      <c r="AM33" s="71">
        <f>((AK33*I33)+(AJ33*B33))/(AK33+AJ33)</f>
        <v>40.276456873780639</v>
      </c>
      <c r="AN33" s="74">
        <f>(POWER(10,-8))*5.67</f>
        <v>5.6699999999999998E-8</v>
      </c>
      <c r="AO33" s="70">
        <f>0.155*T33</f>
        <v>0.13950000000000001</v>
      </c>
      <c r="AP33" s="72">
        <f>AQ33*V33</f>
        <v>-54.47050992896569</v>
      </c>
      <c r="AQ33" s="72">
        <f>(Q33-AM33)/(AO33+(1/(AI33*AL33)))</f>
        <v>-24.546066799517611</v>
      </c>
      <c r="AR33" s="71">
        <f>(EXP(18.956-(4030.18/(Q33+235))))/10</f>
        <v>5.9411456899778399</v>
      </c>
      <c r="AS33" s="72">
        <f>AT33*AJ33</f>
        <v>325.40485283768624</v>
      </c>
      <c r="AT33" s="74">
        <v>16.5</v>
      </c>
      <c r="AU33" s="74">
        <v>2427</v>
      </c>
      <c r="AV33" s="72">
        <f>AX33*V33</f>
        <v>414.96960691564323</v>
      </c>
      <c r="AW33" s="72">
        <f>AY33*V33</f>
        <v>264.48847254784005</v>
      </c>
      <c r="AX33" s="72">
        <f>AH33-AQ33-BG33</f>
        <v>186.99791326360284</v>
      </c>
      <c r="AY33" s="72">
        <f t="shared" ref="AY33:AY34" si="0">0.85*(AR33-Y33)/(U33+(1/(AI33*AS33)))</f>
        <v>119.18654191649748</v>
      </c>
      <c r="AZ33" s="71">
        <f t="shared" ref="AZ33:AZ34" si="1">AX33/AY33</f>
        <v>1.5689515800753264</v>
      </c>
      <c r="BA33" s="76">
        <f>AZ33*100</f>
        <v>156.89515800753264</v>
      </c>
      <c r="BB33" s="71">
        <f>IF(AZ33&lt;1,1-(POWER(AZ33,2)/2),0.5)</f>
        <v>0.5</v>
      </c>
      <c r="BC33" s="72">
        <f>(AX33/BB33)</f>
        <v>373.99582652720568</v>
      </c>
      <c r="BD33" s="77">
        <f>BC33*V33*3600/AU33</f>
        <v>1231.0594024691518</v>
      </c>
      <c r="BE33" s="77">
        <f>IF(BD33&gt;2201,2200, BD33)</f>
        <v>1231.0594024691518</v>
      </c>
      <c r="BF33" s="78">
        <f>BG33*V33</f>
        <v>21.172643813322448</v>
      </c>
      <c r="BG33" s="78">
        <f>(0.0014*AH33*(34-B33))+(0.0173*AH33*(5.86618428-Y33))</f>
        <v>9.5410366093863832</v>
      </c>
    </row>
    <row r="34" spans="1:59" s="79" customFormat="1" ht="21" hidden="1">
      <c r="A34" s="62" t="s">
        <v>89</v>
      </c>
      <c r="B34" s="63">
        <f>E13</f>
        <v>34</v>
      </c>
      <c r="C34" s="63">
        <f>E41</f>
        <v>43</v>
      </c>
      <c r="D34" s="63">
        <f>F13</f>
        <v>50</v>
      </c>
      <c r="E34" s="64">
        <f>I41</f>
        <v>5.666666666666667</v>
      </c>
      <c r="F34" s="83">
        <v>80</v>
      </c>
      <c r="G34" s="84">
        <v>1.85</v>
      </c>
      <c r="H34" s="122"/>
      <c r="I34" s="65">
        <f>((((C34+273)^4)+(2.5*(10^8)*(E34^0.6)*(C34-B34)))^0.25)-273</f>
        <v>84.540293006344996</v>
      </c>
      <c r="J34" s="66">
        <v>101.9</v>
      </c>
      <c r="K34" s="67">
        <f>L34+E34</f>
        <v>5.9666666666666668</v>
      </c>
      <c r="L34" s="88">
        <v>0.3</v>
      </c>
      <c r="M34" s="82">
        <v>9.4</v>
      </c>
      <c r="N34" s="68">
        <f>M34*F34/1000</f>
        <v>0.752</v>
      </c>
      <c r="O34" s="69">
        <v>0.8</v>
      </c>
      <c r="P34" s="69">
        <f>Q34</f>
        <v>36</v>
      </c>
      <c r="Q34" s="69">
        <v>36</v>
      </c>
      <c r="R34" s="69">
        <v>0.95</v>
      </c>
      <c r="S34" s="69">
        <v>0.35</v>
      </c>
      <c r="T34" s="69">
        <v>0.9</v>
      </c>
      <c r="U34" s="70">
        <v>2.1000000000000001E-2</v>
      </c>
      <c r="V34" s="71">
        <f>0.202*(POWER(F34,0.425)*(POWER(G34,0.725)))</f>
        <v>2.0317212221812957</v>
      </c>
      <c r="W34" s="72">
        <f>V34*10000/F34</f>
        <v>253.96515277266195</v>
      </c>
      <c r="X34" s="71">
        <f>B34+273.15</f>
        <v>307.14999999999998</v>
      </c>
      <c r="Y34" s="69">
        <f>AA34*D34/100</f>
        <v>2.6596271453811129</v>
      </c>
      <c r="Z34" s="71">
        <f>Y34*7.5</f>
        <v>19.947203590358345</v>
      </c>
      <c r="AA34" s="71">
        <f>(EXP(18.956-(4030.18/(B34+235))))/10</f>
        <v>5.3192542907622258</v>
      </c>
      <c r="AB34" s="69">
        <f>J34*7.5</f>
        <v>764.25</v>
      </c>
      <c r="AC34" s="73">
        <f>2.17*(Y34/(B34+273.15))</f>
        <v>1.8790138061133044E-2</v>
      </c>
      <c r="AD34" s="71">
        <f>K34*3.6</f>
        <v>21.48</v>
      </c>
      <c r="AE34" s="72">
        <f>IF(O34&lt;1,N34*((0.23*O34)+0.77)*5.88*60,N34*5.88*60)</f>
        <v>253.1015424</v>
      </c>
      <c r="AF34" s="72">
        <f>AE34/V34</f>
        <v>124.57493657927401</v>
      </c>
      <c r="AG34" s="72">
        <f>AE34</f>
        <v>253.1015424</v>
      </c>
      <c r="AH34" s="72">
        <f>AG34/V34</f>
        <v>124.57493657927401</v>
      </c>
      <c r="AI34" s="74">
        <f>1+(0.31*T34)</f>
        <v>1.2789999999999999</v>
      </c>
      <c r="AJ34" s="75">
        <f>IF(K34&lt;0.2,3.16006,(0.7*8.3*POWER(K34,0.6)))</f>
        <v>16.967396087533956</v>
      </c>
      <c r="AK34" s="75">
        <f>4*R34*AN34*S34*(POWER(273.2+((P34+I34)/2),3))</f>
        <v>2.7964404843746542</v>
      </c>
      <c r="AL34" s="75">
        <f>AK34+AJ34</f>
        <v>19.763836571908609</v>
      </c>
      <c r="AM34" s="71">
        <f>((AK34*I34)+(AJ34*B34))/(AK34+AJ34)</f>
        <v>41.151087337768438</v>
      </c>
      <c r="AN34" s="74">
        <f>(POWER(10,-8))*5.67</f>
        <v>5.6699999999999998E-8</v>
      </c>
      <c r="AO34" s="70">
        <f>0.155*T34</f>
        <v>0.13950000000000001</v>
      </c>
      <c r="AP34" s="72">
        <f>AQ34*V34</f>
        <v>-58.44724252785015</v>
      </c>
      <c r="AQ34" s="72">
        <f>(Q34-AM34)/(AO34+(1/(AI34*AL34)))</f>
        <v>-28.767353458610845</v>
      </c>
      <c r="AR34" s="71">
        <f>(EXP(18.956-(4030.18/(Q34+235))))/10</f>
        <v>5.9411456899778399</v>
      </c>
      <c r="AS34" s="72">
        <f>AT34*AJ34</f>
        <v>279.96203544431029</v>
      </c>
      <c r="AT34" s="74">
        <v>16.5</v>
      </c>
      <c r="AU34" s="74">
        <v>2427</v>
      </c>
      <c r="AV34" s="72">
        <f>AX34*V34</f>
        <v>297.50837209926243</v>
      </c>
      <c r="AW34" s="72">
        <f>AY34*V34</f>
        <v>238.1844853632214</v>
      </c>
      <c r="AX34" s="72">
        <f>AH34-AQ34-BG34</f>
        <v>146.43168996376954</v>
      </c>
      <c r="AY34" s="72">
        <f t="shared" si="0"/>
        <v>117.23285791517296</v>
      </c>
      <c r="AZ34" s="71">
        <f t="shared" si="1"/>
        <v>1.2490669643976793</v>
      </c>
      <c r="BA34" s="76">
        <f>AZ34*100</f>
        <v>124.90669643976793</v>
      </c>
      <c r="BB34" s="71">
        <f>IF(AZ34&lt;1,1-(POWER(AZ34,2)/2),0.5)</f>
        <v>0.5</v>
      </c>
      <c r="BC34" s="72">
        <f>(AX34/BB34)</f>
        <v>292.86337992753909</v>
      </c>
      <c r="BD34" s="77">
        <f>BC34*V34*3600/AU34</f>
        <v>882.59591228458578</v>
      </c>
      <c r="BE34" s="77">
        <f>IF(BD34&gt;2201,2200, BD34)</f>
        <v>882.59591228458578</v>
      </c>
      <c r="BF34" s="78">
        <f>BG34*V34</f>
        <v>14.040412828587728</v>
      </c>
      <c r="BG34" s="78">
        <f>(0.0014*AH34*(34-B34))+(0.0173*AH34*(5.86618428-Y34))</f>
        <v>6.9106000741153188</v>
      </c>
    </row>
    <row r="35" spans="1:59" hidden="1">
      <c r="F35" s="7"/>
      <c r="M35" s="25"/>
      <c r="N35" s="15"/>
      <c r="AD35" s="8"/>
      <c r="AE35" s="8"/>
      <c r="AF35" s="8"/>
      <c r="AG35" s="8"/>
      <c r="AH35" s="8"/>
      <c r="AI35" s="8"/>
      <c r="AU35" s="8"/>
      <c r="AV35" s="8"/>
      <c r="AW35" s="8"/>
      <c r="AX35" s="8"/>
      <c r="AZ35" s="8"/>
    </row>
    <row r="36" spans="1:59" hidden="1"/>
    <row r="37" spans="1:59" hidden="1"/>
    <row r="38" spans="1:59" ht="24.75" hidden="1">
      <c r="F38" s="135" t="s">
        <v>104</v>
      </c>
    </row>
    <row r="39" spans="1:59" ht="30" hidden="1">
      <c r="E39" s="91" t="s">
        <v>91</v>
      </c>
      <c r="F39" s="135">
        <f>IF(E13&gt;39.9, ((E13-40)),0)</f>
        <v>0</v>
      </c>
      <c r="I39" s="92" t="s">
        <v>90</v>
      </c>
    </row>
    <row r="40" spans="1:59" ht="34.9" hidden="1" thickBot="1">
      <c r="E40" s="91" t="s">
        <v>14</v>
      </c>
      <c r="F40" s="94" t="s">
        <v>96</v>
      </c>
      <c r="G40" s="94" t="s">
        <v>11</v>
      </c>
      <c r="H40" s="131"/>
      <c r="I40" s="92" t="s">
        <v>92</v>
      </c>
    </row>
    <row r="41" spans="1:59" ht="46.15" hidden="1" thickTop="1" thickBot="1">
      <c r="E41" s="96">
        <f>E13+((L15+L21)*3)</f>
        <v>43</v>
      </c>
      <c r="F41" s="107">
        <f>IF(((BA32-150)/10)&lt;0,0,((BA32-150)/10))</f>
        <v>2.2255896514691869</v>
      </c>
      <c r="G41" s="108">
        <f>IF((((BD32/1000)-0.8)*10&lt;0),0,(((BD32/1000)-0.8)*10))</f>
        <v>3.0435605833002866</v>
      </c>
      <c r="H41" s="132"/>
      <c r="I41" s="97">
        <f>G13*1000/60/60</f>
        <v>5.666666666666667</v>
      </c>
    </row>
    <row r="42" spans="1:59" ht="16.149999999999999" hidden="1" thickTop="1"/>
    <row r="43" spans="1:59" hidden="1"/>
    <row r="44" spans="1:59">
      <c r="I44" s="1"/>
    </row>
  </sheetData>
  <mergeCells count="15">
    <mergeCell ref="D10:G10"/>
    <mergeCell ref="X29:AD29"/>
    <mergeCell ref="AE29:AH29"/>
    <mergeCell ref="AI29:AQ29"/>
    <mergeCell ref="AR29:BA29"/>
    <mergeCell ref="E15:G15"/>
    <mergeCell ref="E16:G16"/>
    <mergeCell ref="I15:K15"/>
    <mergeCell ref="I20:K20"/>
    <mergeCell ref="I21:K21"/>
    <mergeCell ref="BB29:BD29"/>
    <mergeCell ref="BF29:BG29"/>
    <mergeCell ref="AE31:AF31"/>
    <mergeCell ref="AG31:AH31"/>
    <mergeCell ref="AP31:AQ31"/>
  </mergeCells>
  <phoneticPr fontId="35" type="noConversion"/>
  <conditionalFormatting sqref="D31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1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6">
    <cfRule type="cellIs" dxfId="3" priority="1" operator="greaterThan">
      <formula>10</formula>
    </cfRule>
    <cfRule type="cellIs" dxfId="2" priority="2" operator="between">
      <formula>7.500001</formula>
      <formula>10</formula>
    </cfRule>
    <cfRule type="cellIs" dxfId="1" priority="4" operator="between">
      <formula>4.5000001</formula>
      <formula>7.5</formula>
    </cfRule>
    <cfRule type="cellIs" dxfId="0" priority="5" operator="lessThanOrEqual">
      <formula>4.5</formula>
    </cfRule>
  </conditionalFormatting>
  <pageMargins left="0.75000000000000011" right="0.75000000000000011" top="1" bottom="1" header="0.5" footer="0.5"/>
  <pageSetup scale="95" orientation="landscape" horizontalDpi="4294967292" verticalDpi="4294967292"/>
  <colBreaks count="1" manualBreakCount="1">
    <brk id="6" max="1048575" man="1"/>
  </colBreaks>
  <drawing r:id="rId1"/>
  <legacyDrawing r:id="rId2"/>
  <extLst>
    <ext xmlns:mx="http://schemas.microsoft.com/office/mac/excel/2008/main" uri="{64002731-A6B0-56B0-2670-7721B7C09600}">
      <mx:PLV Mode="0" OnePage="0" WScale="10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1E6115AEFE6A408681A31C0F063D17" ma:contentTypeVersion="13" ma:contentTypeDescription="Create a new document." ma:contentTypeScope="" ma:versionID="942e71845064ab50cda1a66d66e71bcb">
  <xsd:schema xmlns:xsd="http://www.w3.org/2001/XMLSchema" xmlns:xs="http://www.w3.org/2001/XMLSchema" xmlns:p="http://schemas.microsoft.com/office/2006/metadata/properties" xmlns:ns1="http://schemas.microsoft.com/sharepoint/v3" xmlns:ns3="1ae8a683-292b-4fcd-9bf3-e239a6a1d83f" xmlns:ns4="1197a097-2424-4a8b-8847-ce70451b4e17" targetNamespace="http://schemas.microsoft.com/office/2006/metadata/properties" ma:root="true" ma:fieldsID="260a1b6e01aac079213bb7ac1a45d3b8" ns1:_="" ns3:_="" ns4:_="">
    <xsd:import namespace="http://schemas.microsoft.com/sharepoint/v3"/>
    <xsd:import namespace="1ae8a683-292b-4fcd-9bf3-e239a6a1d83f"/>
    <xsd:import namespace="1197a097-2424-4a8b-8847-ce70451b4e1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Location" minOccurs="0"/>
                <xsd:element ref="ns1:_ip_UnifiedCompliancePolicyProperties" minOccurs="0"/>
                <xsd:element ref="ns1:_ip_UnifiedCompliancePolicyUIAction" minOccurs="0"/>
                <xsd:element ref="ns4:MediaServiceOCR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6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7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8a683-292b-4fcd-9bf3-e239a6a1d83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97a097-2424-4a8b-8847-ce70451b4e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A8004465-A80B-46D9-B00D-62518BEB1E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ae8a683-292b-4fcd-9bf3-e239a6a1d83f"/>
    <ds:schemaRef ds:uri="1197a097-2424-4a8b-8847-ce70451b4e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F4D48EF-82F9-478E-8237-161A8A2A659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84B3A1-8C51-4C02-932E-935F0B42A754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1ae8a683-292b-4fcd-9bf3-e239a6a1d83f"/>
    <ds:schemaRef ds:uri="http://purl.org/dc/dcmitype/"/>
    <ds:schemaRef ds:uri="http://schemas.openxmlformats.org/package/2006/metadata/core-properties"/>
    <ds:schemaRef ds:uri="1197a097-2424-4a8b-8847-ce70451b4e17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Model Community</vt:lpstr>
      <vt:lpstr>'Model Community'!Print_Area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Ollie Jay</dc:creator>
  <cp:keywords/>
  <dc:description/>
  <cp:lastModifiedBy>Matthew Phelps</cp:lastModifiedBy>
  <cp:lastPrinted>2018-05-15T14:08:47Z</cp:lastPrinted>
  <dcterms:created xsi:type="dcterms:W3CDTF">2017-01-02T11:45:17Z</dcterms:created>
  <dcterms:modified xsi:type="dcterms:W3CDTF">2020-01-09T03:14:35Z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0x010100141E6115AEFE6A408681A31C0F063D17</vt:lpwstr>
  </property>
</Properties>
</file>